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ndsey.robinson\Downloads\"/>
    </mc:Choice>
  </mc:AlternateContent>
  <xr:revisionPtr revIDLastSave="0" documentId="13_ncr:1_{D3048C2D-D0D2-438C-8220-7793D48DFFEB}" xr6:coauthVersionLast="47" xr6:coauthVersionMax="47" xr10:uidLastSave="{00000000-0000-0000-0000-000000000000}"/>
  <bookViews>
    <workbookView xWindow="10" yWindow="0" windowWidth="19190" windowHeight="11400" xr2:uid="{DC6366D8-35B1-4017-81FC-D6E8B53D60DF}"/>
  </bookViews>
  <sheets>
    <sheet name="Summer Special FY25" sheetId="10" r:id="rId1"/>
    <sheet name="Summer Product Financials" sheetId="1" state="hidden" r:id="rId2"/>
  </sheets>
  <definedNames>
    <definedName name="_xlnm._FilterDatabase" localSheetId="1" hidden="1">'Summer Product Financials'!$A$2:$S$96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G6" i="10" s="1"/>
  <c r="E7" i="10"/>
  <c r="G7" i="10" s="1"/>
  <c r="M10" i="10"/>
  <c r="M11" i="10"/>
  <c r="M12" i="10"/>
  <c r="M13" i="10"/>
  <c r="M14" i="10"/>
  <c r="M15" i="10"/>
  <c r="M16" i="10"/>
  <c r="M17" i="10"/>
  <c r="M18" i="10"/>
  <c r="C4" i="10"/>
  <c r="D4" i="10"/>
  <c r="C27" i="10" s="1"/>
  <c r="E4" i="10"/>
  <c r="G4" i="10" s="1"/>
  <c r="H4" i="10"/>
  <c r="L4" i="10" s="1"/>
  <c r="C5" i="10"/>
  <c r="D5" i="10"/>
  <c r="E5" i="10"/>
  <c r="G5" i="10" s="1"/>
  <c r="H5" i="10"/>
  <c r="L5" i="10" s="1"/>
  <c r="C6" i="10"/>
  <c r="D6" i="10"/>
  <c r="H6" i="10"/>
  <c r="L6" i="10" s="1"/>
  <c r="J6" i="10"/>
  <c r="C7" i="10"/>
  <c r="D7" i="10"/>
  <c r="H7" i="10"/>
  <c r="L7" i="10" s="1"/>
  <c r="J7" i="10"/>
  <c r="C8" i="10"/>
  <c r="D8" i="10"/>
  <c r="E8" i="10"/>
  <c r="G8" i="10" s="1"/>
  <c r="H8" i="10"/>
  <c r="L8" i="10" s="1"/>
  <c r="C9" i="10"/>
  <c r="D9" i="10"/>
  <c r="E9" i="10"/>
  <c r="G9" i="10" s="1"/>
  <c r="H9" i="10"/>
  <c r="L9" i="10" s="1"/>
  <c r="J9" i="10"/>
  <c r="C10" i="10"/>
  <c r="D10" i="10"/>
  <c r="E10" i="10"/>
  <c r="G10" i="10" s="1"/>
  <c r="H10" i="10"/>
  <c r="J10" i="10"/>
  <c r="L10" i="10"/>
  <c r="C11" i="10"/>
  <c r="D11" i="10"/>
  <c r="E11" i="10"/>
  <c r="G11" i="10"/>
  <c r="H11" i="10"/>
  <c r="J11" i="10"/>
  <c r="L11" i="10"/>
  <c r="C12" i="10"/>
  <c r="D12" i="10"/>
  <c r="E12" i="10"/>
  <c r="G12" i="10"/>
  <c r="H12" i="10"/>
  <c r="J12" i="10"/>
  <c r="L12" i="10"/>
  <c r="C13" i="10"/>
  <c r="D13" i="10"/>
  <c r="E13" i="10"/>
  <c r="G13" i="10"/>
  <c r="H13" i="10"/>
  <c r="J13" i="10"/>
  <c r="L13" i="10"/>
  <c r="C14" i="10"/>
  <c r="D14" i="10"/>
  <c r="E14" i="10"/>
  <c r="G14" i="10"/>
  <c r="H14" i="10"/>
  <c r="J14" i="10"/>
  <c r="L14" i="10"/>
  <c r="C15" i="10"/>
  <c r="D15" i="10"/>
  <c r="E15" i="10"/>
  <c r="G15" i="10"/>
  <c r="H15" i="10"/>
  <c r="J15" i="10"/>
  <c r="L15" i="10"/>
  <c r="C16" i="10"/>
  <c r="D16" i="10"/>
  <c r="E16" i="10"/>
  <c r="G16" i="10"/>
  <c r="H16" i="10"/>
  <c r="J16" i="10"/>
  <c r="L16" i="10"/>
  <c r="C17" i="10"/>
  <c r="D17" i="10"/>
  <c r="E17" i="10"/>
  <c r="G17" i="10"/>
  <c r="H17" i="10"/>
  <c r="J17" i="10"/>
  <c r="L17" i="10"/>
  <c r="C18" i="10"/>
  <c r="D18" i="10"/>
  <c r="E18" i="10"/>
  <c r="G18" i="10"/>
  <c r="H18" i="10"/>
  <c r="J18" i="10"/>
  <c r="L18" i="10"/>
  <c r="C19" i="10"/>
  <c r="D19" i="10"/>
  <c r="E19" i="10"/>
  <c r="G19" i="10"/>
  <c r="H19" i="10"/>
  <c r="J19" i="10"/>
  <c r="C20" i="10"/>
  <c r="D20" i="10"/>
  <c r="E20" i="10"/>
  <c r="G20" i="10"/>
  <c r="H20" i="10"/>
  <c r="J20" i="10"/>
  <c r="C21" i="10"/>
  <c r="D21" i="10"/>
  <c r="E21" i="10"/>
  <c r="G21" i="10"/>
  <c r="H21" i="10"/>
  <c r="J21" i="10"/>
  <c r="J3" i="10"/>
  <c r="H3" i="10"/>
  <c r="L3" i="10" s="1"/>
  <c r="E3" i="10"/>
  <c r="G3" i="10" s="1"/>
  <c r="D3" i="10"/>
  <c r="C25" i="10" s="1"/>
  <c r="C3" i="10"/>
  <c r="K44" i="1"/>
  <c r="K45" i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H27" i="1"/>
  <c r="I27" i="1" s="1"/>
  <c r="H28" i="1"/>
  <c r="I28" i="1" s="1"/>
  <c r="H29" i="1"/>
  <c r="I29" i="1" s="1"/>
  <c r="H30" i="1"/>
  <c r="K30" i="1" s="1"/>
  <c r="L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26" i="1"/>
  <c r="I26" i="1" s="1"/>
  <c r="H10" i="1"/>
  <c r="I10" i="1" s="1"/>
  <c r="H11" i="1"/>
  <c r="I11" i="1" s="1"/>
  <c r="H9" i="1"/>
  <c r="I9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4" i="1"/>
  <c r="I4" i="1" s="1"/>
  <c r="H5" i="1"/>
  <c r="I5" i="1" s="1"/>
  <c r="H6" i="1"/>
  <c r="I6" i="1" s="1"/>
  <c r="H7" i="1"/>
  <c r="I7" i="1" s="1"/>
  <c r="H8" i="1"/>
  <c r="I8" i="1" s="1"/>
  <c r="H3" i="1"/>
  <c r="K3" i="1" s="1"/>
  <c r="L3" i="1" s="1"/>
  <c r="C24" i="10" l="1"/>
  <c r="C26" i="10"/>
  <c r="C28" i="10" s="1"/>
  <c r="D28" i="10" s="1" a="1"/>
  <c r="D28" i="10" s="1"/>
  <c r="I6" i="10"/>
  <c r="I5" i="10"/>
  <c r="J8" i="10"/>
  <c r="J5" i="10"/>
  <c r="J4" i="10"/>
  <c r="K17" i="10"/>
  <c r="I3" i="10"/>
  <c r="I4" i="10"/>
  <c r="K19" i="10"/>
  <c r="K11" i="10"/>
  <c r="K10" i="10"/>
  <c r="K4" i="10"/>
  <c r="K13" i="10"/>
  <c r="K8" i="10"/>
  <c r="K20" i="10"/>
  <c r="K21" i="10"/>
  <c r="K18" i="10"/>
  <c r="K16" i="10"/>
  <c r="K15" i="10"/>
  <c r="K14" i="10"/>
  <c r="K12" i="10"/>
  <c r="K5" i="10"/>
  <c r="K7" i="10"/>
  <c r="M7" i="10" s="1"/>
  <c r="K9" i="10"/>
  <c r="M9" i="10" s="1"/>
  <c r="K6" i="10"/>
  <c r="M6" i="10" s="1"/>
  <c r="K3" i="10"/>
  <c r="M3" i="10" s="1"/>
  <c r="K28" i="1"/>
  <c r="L28" i="1" s="1"/>
  <c r="K43" i="1"/>
  <c r="L43" i="1" s="1"/>
  <c r="K27" i="1"/>
  <c r="L27" i="1" s="1"/>
  <c r="K42" i="1"/>
  <c r="L42" i="1" s="1"/>
  <c r="K21" i="1"/>
  <c r="L21" i="1" s="1"/>
  <c r="K37" i="1"/>
  <c r="L37" i="1" s="1"/>
  <c r="K19" i="1"/>
  <c r="L19" i="1" s="1"/>
  <c r="K36" i="1"/>
  <c r="L36" i="1" s="1"/>
  <c r="K18" i="1"/>
  <c r="L18" i="1" s="1"/>
  <c r="K35" i="1"/>
  <c r="L35" i="1" s="1"/>
  <c r="K13" i="1"/>
  <c r="L13" i="1" s="1"/>
  <c r="K34" i="1"/>
  <c r="L34" i="1" s="1"/>
  <c r="K11" i="1"/>
  <c r="L11" i="1" s="1"/>
  <c r="K29" i="1"/>
  <c r="L29" i="1" s="1"/>
  <c r="K8" i="1"/>
  <c r="L8" i="1" s="1"/>
  <c r="K5" i="1"/>
  <c r="L5" i="1" s="1"/>
  <c r="K20" i="1"/>
  <c r="L20" i="1" s="1"/>
  <c r="K12" i="1"/>
  <c r="L12" i="1" s="1"/>
  <c r="K26" i="1"/>
  <c r="L26" i="1" s="1"/>
  <c r="K10" i="1"/>
  <c r="L10" i="1" s="1"/>
  <c r="K41" i="1"/>
  <c r="L41" i="1" s="1"/>
  <c r="K33" i="1"/>
  <c r="L33" i="1" s="1"/>
  <c r="K25" i="1"/>
  <c r="L25" i="1" s="1"/>
  <c r="K17" i="1"/>
  <c r="L17" i="1" s="1"/>
  <c r="K9" i="1"/>
  <c r="L9" i="1" s="1"/>
  <c r="K40" i="1"/>
  <c r="L40" i="1" s="1"/>
  <c r="K16" i="1"/>
  <c r="L16" i="1" s="1"/>
  <c r="I3" i="1"/>
  <c r="K39" i="1"/>
  <c r="L39" i="1" s="1"/>
  <c r="K31" i="1"/>
  <c r="L31" i="1" s="1"/>
  <c r="K23" i="1"/>
  <c r="L23" i="1" s="1"/>
  <c r="K15" i="1"/>
  <c r="L15" i="1" s="1"/>
  <c r="K7" i="1"/>
  <c r="L7" i="1" s="1"/>
  <c r="K32" i="1"/>
  <c r="L32" i="1" s="1"/>
  <c r="K24" i="1"/>
  <c r="L24" i="1" s="1"/>
  <c r="I30" i="1"/>
  <c r="K38" i="1"/>
  <c r="L38" i="1" s="1"/>
  <c r="K22" i="1"/>
  <c r="L22" i="1" s="1"/>
  <c r="K14" i="1"/>
  <c r="L14" i="1" s="1"/>
  <c r="K6" i="1"/>
  <c r="L6" i="1" s="1"/>
  <c r="K4" i="1"/>
  <c r="L4" i="1" s="1"/>
  <c r="M19" i="10" l="1"/>
  <c r="M8" i="10"/>
  <c r="M5" i="10"/>
  <c r="M4" i="10"/>
  <c r="M20" i="10" l="1"/>
  <c r="M21" i="10" l="1"/>
  <c r="M23" i="10" s="1"/>
  <c r="M22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<sst xmlns="http://schemas.openxmlformats.org/spreadsheetml/2006/main" count="323" uniqueCount="128">
  <si>
    <t>Suggested Retail Pricing 5/13</t>
  </si>
  <si>
    <t>Proposed New Pricing 6/1</t>
  </si>
  <si>
    <t>% Change</t>
  </si>
  <si>
    <t>Summer Program Discount</t>
  </si>
  <si>
    <t>Product Name</t>
  </si>
  <si>
    <t>Alterra G (2.5 gal)</t>
  </si>
  <si>
    <t>Alterra G (250 gal)</t>
  </si>
  <si>
    <t>Alterra G (bulk)</t>
  </si>
  <si>
    <t>Alterra L (2.5 gal)</t>
  </si>
  <si>
    <t>Alterra L (250 gal)</t>
  </si>
  <si>
    <t>Alterra L (bulk)</t>
  </si>
  <si>
    <t>N-Charge G (2.5 gal)</t>
  </si>
  <si>
    <t>N-Charge G (250 gal)</t>
  </si>
  <si>
    <t>N-Charge G (bulk)</t>
  </si>
  <si>
    <t>NutriSphere-N for Granular (2.5 gal)</t>
  </si>
  <si>
    <t>NutriSphere-N for Granular (250 gal)</t>
  </si>
  <si>
    <t>NutriSphere-N for Granular (bulk)</t>
  </si>
  <si>
    <t>NutriSphere-N for Liquid (2.5 gal)</t>
  </si>
  <si>
    <t>NutriSphere-N for Liquid (250 gal)</t>
  </si>
  <si>
    <t>NutriSphere-N for Liquid (bulk)</t>
  </si>
  <si>
    <t>NutriSphere-N HV for Liquid (2.5 gal)</t>
  </si>
  <si>
    <t>NutriSphere-N HV for Liquid (250 gal)</t>
  </si>
  <si>
    <t>NutriSphere-N HV for Liquid (bulk)</t>
  </si>
  <si>
    <t>NutriSphere-NH3 (2.5 gal)</t>
  </si>
  <si>
    <t>NutriSphere-NH3 (250 gal)</t>
  </si>
  <si>
    <t>NutriSphere-NH3 (bulk)</t>
  </si>
  <si>
    <t>Outlast (250 gal)</t>
  </si>
  <si>
    <t>Outlast (bulk)</t>
  </si>
  <si>
    <t>Trident (2.5 gal)</t>
  </si>
  <si>
    <t>Trident (250 gal)</t>
  </si>
  <si>
    <t>Trident (bulk)</t>
  </si>
  <si>
    <t>Trident G (2.5 gal)</t>
  </si>
  <si>
    <t>Trident G (250 gal)</t>
  </si>
  <si>
    <t>Trident G (bulk)</t>
  </si>
  <si>
    <t>Trident N (2.5 gal)</t>
  </si>
  <si>
    <t>Trident N (250 gal)</t>
  </si>
  <si>
    <t>Trident N (bulk)</t>
  </si>
  <si>
    <t>Trident NG (2.5 gal)</t>
  </si>
  <si>
    <t>Trident NG (250 gal)</t>
  </si>
  <si>
    <t>Trident NG (bulk)</t>
  </si>
  <si>
    <t>Trident V (2.5 gal)</t>
  </si>
  <si>
    <t>Trident V (250 gal)</t>
  </si>
  <si>
    <t>Trident V (bulk)</t>
  </si>
  <si>
    <t>Trident VG (2.5 gal)</t>
  </si>
  <si>
    <t>Trident VG (250 gal)</t>
  </si>
  <si>
    <t>Trident VG (bulk)</t>
  </si>
  <si>
    <t>Retailer</t>
  </si>
  <si>
    <t>Category</t>
  </si>
  <si>
    <t>Nitrogen FE</t>
  </si>
  <si>
    <t>Micronutrients</t>
  </si>
  <si>
    <t>Phosphorus FE</t>
  </si>
  <si>
    <t>UOM</t>
  </si>
  <si>
    <t>Biostimulants</t>
  </si>
  <si>
    <t>AVAIL for Granular (2.5 gal)</t>
  </si>
  <si>
    <t>AVAIL for Granular (250 gal)</t>
  </si>
  <si>
    <t>AVAIL for Liquid (2.5 gal)</t>
  </si>
  <si>
    <t>AVAIL for Liquid (250 gal)</t>
  </si>
  <si>
    <t>Avail HV (2.5 gal)</t>
  </si>
  <si>
    <t>Avail HV (250 gal)</t>
  </si>
  <si>
    <t>Avail T5 for Granular (2.5 gal)</t>
  </si>
  <si>
    <t>Avail T5 for Granular (250 gal)</t>
  </si>
  <si>
    <t>Avail T5 for Granular (bulk)</t>
  </si>
  <si>
    <t>Avail T5 for Liquid (2.5 gal)</t>
  </si>
  <si>
    <t>Avail T5 for Liquid (250 gal)</t>
  </si>
  <si>
    <t>Avail T5 for Liquid (bulk)</t>
  </si>
  <si>
    <t>Phree-uP (2.5 gal)</t>
  </si>
  <si>
    <t>Phree-uP (250 gal)</t>
  </si>
  <si>
    <t>FLO-COAT BMZ (2.5 gal)</t>
  </si>
  <si>
    <t>FLO-COAT BMZ (250 gal)</t>
  </si>
  <si>
    <t>microSync Complete (1x2000lb)</t>
  </si>
  <si>
    <t>microSync Complete (40x50lb)</t>
  </si>
  <si>
    <t>microSync Complete (bulk)</t>
  </si>
  <si>
    <t>microSync Copper 5% (1x2000lb)</t>
  </si>
  <si>
    <t>microSync Copper 5% (40x50lb)</t>
  </si>
  <si>
    <t>microSync Copper 5% (bulk)</t>
  </si>
  <si>
    <t>microSync Fusion (1x2000lb)</t>
  </si>
  <si>
    <t>microSync Fusion (40x50lb)</t>
  </si>
  <si>
    <t>microSync Fusion (bulk)</t>
  </si>
  <si>
    <t>microSync Iron IDC (1x2000lb)</t>
  </si>
  <si>
    <t>microSync Iron IDC (40x50lb)</t>
  </si>
  <si>
    <t>microSync Manganese 8% (1x2000lb)</t>
  </si>
  <si>
    <t>microSync Manganese 8% (40x50lb)</t>
  </si>
  <si>
    <t>microSync Manganese 8% (bulk)</t>
  </si>
  <si>
    <t>microsync Premier (1x2000lb)</t>
  </si>
  <si>
    <t>microSync Premier (40x50lb)</t>
  </si>
  <si>
    <t>microSync Premier (bulk)</t>
  </si>
  <si>
    <t>microSync Prime (1x2000lb)</t>
  </si>
  <si>
    <t>microSync Prime (40x50lb)</t>
  </si>
  <si>
    <t>microsync Prime (bulk)</t>
  </si>
  <si>
    <t>microSync Pro (1x2000lb)</t>
  </si>
  <si>
    <t>microSync Pro (40x50lb)</t>
  </si>
  <si>
    <t>microSync Pro (bulk)</t>
  </si>
  <si>
    <t>microSync Pro Mini (40x50lb)</t>
  </si>
  <si>
    <t>microSync Supreme (1x2000lb)</t>
  </si>
  <si>
    <t>microSync Supreme (bulk)</t>
  </si>
  <si>
    <t>microSync Ultra (1x2000lb)</t>
  </si>
  <si>
    <t>microSync Ultra (40x50lb)</t>
  </si>
  <si>
    <t>microSync Ultra (bulk)</t>
  </si>
  <si>
    <t>microSync Zinc 10% (1x2000lb)</t>
  </si>
  <si>
    <t>microSync Zinc 10% (40x50lb)</t>
  </si>
  <si>
    <t>microSync Zinc 10% (bulk)</t>
  </si>
  <si>
    <t>Crop+ (2.5 gal)</t>
  </si>
  <si>
    <t>Crop+ (265 gal)</t>
  </si>
  <si>
    <t>Take Off LS (2.5 gal)</t>
  </si>
  <si>
    <t>Take Off LS (265 gal)</t>
  </si>
  <si>
    <t>Take Off LS (bulk gal)</t>
  </si>
  <si>
    <t>Net Suggested Dealer Pricing w/Program</t>
  </si>
  <si>
    <t>Retailer $/Ton, Acre Treatment</t>
  </si>
  <si>
    <t>Product / Pack Size</t>
  </si>
  <si>
    <t>GAL</t>
  </si>
  <si>
    <t>TON</t>
  </si>
  <si>
    <t>Quantity Minimum</t>
  </si>
  <si>
    <t>Quantity Qualification</t>
  </si>
  <si>
    <t>Program Total</t>
  </si>
  <si>
    <t>FY25' Summer List Price</t>
  </si>
  <si>
    <t>Purchase Quantity</t>
  </si>
  <si>
    <t>Standard List</t>
  </si>
  <si>
    <t>Standard Total</t>
  </si>
  <si>
    <t>Summer Total</t>
  </si>
  <si>
    <t>Purchase Count</t>
  </si>
  <si>
    <t># Qualifying Category Purchases</t>
  </si>
  <si>
    <t>% CategoryBonus</t>
  </si>
  <si>
    <t>Total Category Purchases</t>
  </si>
  <si>
    <t>Category Rebate Bonus</t>
  </si>
  <si>
    <t>Program Discount Savings</t>
  </si>
  <si>
    <t>Program Total Savings</t>
  </si>
  <si>
    <t>Program Invoice Total</t>
  </si>
  <si>
    <t>Note: Freight charges are not reflected in 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</si>
</sst>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164" fontId="6" fillId="0" borderId="1" xfId="4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4" applyFont="1" applyBorder="1" applyAlignment="1">
      <alignment horizontal="left" vertical="center"/>
    </xf>
    <xf numFmtId="9" fontId="6" fillId="0" borderId="1" xfId="3" applyFont="1" applyBorder="1" applyAlignment="1">
      <alignment horizontal="center" vertical="center"/>
    </xf>
    <xf numFmtId="44" fontId="6" fillId="0" borderId="1" xfId="2" applyFont="1" applyBorder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0" applyFont="1" applyFill="1"/>
    <xf numFmtId="44" fontId="0" fillId="0" borderId="1" xfId="0" applyNumberFormat="1" applyBorder="1"/>
    <xf numFmtId="0" fontId="3" fillId="5" borderId="1" xfId="0" applyFont="1" applyFill="1" applyBorder="1" applyAlignment="1">
      <alignment horizontal="center" vertical="center" wrapText="1"/>
    </xf>
    <xf numFmtId="164" fontId="6" fillId="0" borderId="12" xfId="4" applyNumberFormat="1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6" fillId="0" borderId="12" xfId="4" applyFont="1" applyBorder="1" applyAlignment="1">
      <alignment horizontal="left" vertical="center"/>
    </xf>
    <xf numFmtId="0" fontId="6" fillId="0" borderId="12" xfId="4" applyFont="1" applyBorder="1" applyAlignment="1">
      <alignment vertical="center"/>
    </xf>
    <xf numFmtId="164" fontId="0" fillId="0" borderId="0" xfId="0" applyNumberFormat="1"/>
    <xf numFmtId="44" fontId="0" fillId="0" borderId="0" xfId="0" applyNumberFormat="1"/>
    <xf numFmtId="0" fontId="0" fillId="2" borderId="0" xfId="0" applyFill="1"/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11" xfId="2" applyNumberFormat="1" applyFont="1" applyFill="1" applyBorder="1" applyAlignment="1">
      <alignment horizontal="center" vertical="center"/>
    </xf>
    <xf numFmtId="164" fontId="0" fillId="2" borderId="10" xfId="2" applyNumberFormat="1" applyFont="1" applyFill="1" applyBorder="1" applyAlignment="1">
      <alignment horizontal="center" vertical="center"/>
    </xf>
    <xf numFmtId="9" fontId="0" fillId="2" borderId="10" xfId="3" applyFon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9" fontId="0" fillId="2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1" xfId="2" applyNumberFormat="1" applyFont="1" applyBorder="1" applyAlignment="1">
      <alignment horizontal="center" vertical="center"/>
    </xf>
    <xf numFmtId="164" fontId="0" fillId="0" borderId="10" xfId="2" applyNumberFormat="1" applyFont="1" applyBorder="1" applyAlignment="1">
      <alignment horizontal="center" vertical="center"/>
    </xf>
    <xf numFmtId="9" fontId="0" fillId="0" borderId="10" xfId="3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9" fontId="0" fillId="0" borderId="7" xfId="3" applyFont="1" applyBorder="1" applyAlignment="1">
      <alignment horizontal="center" vertical="center"/>
    </xf>
    <xf numFmtId="166" fontId="0" fillId="2" borderId="0" xfId="1" applyNumberFormat="1" applyFont="1" applyFill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165" fontId="10" fillId="4" borderId="15" xfId="0" applyNumberFormat="1" applyFont="1" applyFill="1" applyBorder="1" applyAlignment="1">
      <alignment horizontal="center" vertical="center" wrapText="1"/>
    </xf>
    <xf numFmtId="165" fontId="10" fillId="7" borderId="15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/>
    </xf>
    <xf numFmtId="44" fontId="0" fillId="8" borderId="1" xfId="2" applyFont="1" applyFill="1" applyBorder="1"/>
    <xf numFmtId="9" fontId="0" fillId="8" borderId="1" xfId="3" applyFont="1" applyFill="1" applyBorder="1"/>
    <xf numFmtId="8" fontId="0" fillId="8" borderId="1" xfId="0" applyNumberFormat="1" applyFill="1" applyBorder="1"/>
    <xf numFmtId="164" fontId="1" fillId="8" borderId="12" xfId="0" applyNumberFormat="1" applyFont="1" applyFill="1" applyBorder="1" applyAlignment="1">
      <alignment horizontal="center" vertical="center"/>
    </xf>
    <xf numFmtId="0" fontId="0" fillId="8" borderId="1" xfId="0" applyFill="1" applyBorder="1"/>
    <xf numFmtId="165" fontId="1" fillId="8" borderId="12" xfId="0" applyNumberFormat="1" applyFont="1" applyFill="1" applyBorder="1" applyAlignment="1">
      <alignment horizontal="center" vertical="center"/>
    </xf>
    <xf numFmtId="8" fontId="7" fillId="8" borderId="1" xfId="0" applyNumberFormat="1" applyFont="1" applyFill="1" applyBorder="1"/>
    <xf numFmtId="0" fontId="0" fillId="8" borderId="0" xfId="0" applyFill="1"/>
    <xf numFmtId="0" fontId="0" fillId="2" borderId="11" xfId="2" applyNumberFormat="1" applyFont="1" applyFill="1" applyBorder="1" applyAlignment="1">
      <alignment horizontal="center" vertical="center"/>
    </xf>
    <xf numFmtId="44" fontId="0" fillId="2" borderId="11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9" fontId="0" fillId="5" borderId="18" xfId="3" applyFont="1" applyFill="1" applyBorder="1" applyAlignment="1">
      <alignment horizontal="center" vertical="center"/>
    </xf>
    <xf numFmtId="9" fontId="0" fillId="5" borderId="19" xfId="3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 wrapText="1"/>
    </xf>
    <xf numFmtId="44" fontId="11" fillId="4" borderId="1" xfId="2" applyFont="1" applyFill="1" applyBorder="1" applyAlignment="1">
      <alignment horizontal="center" vertical="center" wrapText="1"/>
    </xf>
    <xf numFmtId="9" fontId="0" fillId="2" borderId="22" xfId="3" applyFont="1" applyFill="1" applyBorder="1" applyAlignment="1">
      <alignment horizontal="center" vertical="center"/>
    </xf>
    <xf numFmtId="9" fontId="0" fillId="0" borderId="22" xfId="3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44" fontId="11" fillId="7" borderId="25" xfId="2" applyFont="1" applyFill="1" applyBorder="1" applyAlignment="1">
      <alignment horizontal="center" vertical="center" wrapText="1"/>
    </xf>
    <xf numFmtId="44" fontId="11" fillId="4" borderId="16" xfId="2" applyFont="1" applyFill="1" applyBorder="1" applyAlignment="1">
      <alignment vertical="center"/>
    </xf>
    <xf numFmtId="44" fontId="11" fillId="7" borderId="16" xfId="2" applyFont="1" applyFill="1" applyBorder="1" applyAlignment="1">
      <alignment vertical="center"/>
    </xf>
    <xf numFmtId="44" fontId="11" fillId="5" borderId="21" xfId="2" applyFont="1" applyFill="1" applyBorder="1" applyAlignment="1">
      <alignment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 xr:uid="{27428628-2800-491D-9A1D-19956E6E97C0}"/>
    <cellStyle name="Percent" xfId="3" builtinId="5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589D-CF77-4E4A-927D-BC23A2D79849}">
  <dimension ref="A1:Q28"/>
  <sheetViews>
    <sheetView tabSelected="1" topLeftCell="B13" zoomScale="90" zoomScaleNormal="90" workbookViewId="0">
      <selection activeCell="L24" sqref="L24"/>
    </sheetView>
  </sheetViews>
  <sheetFormatPr defaultRowHeight="14.5" x14ac:dyDescent="0.35"/>
  <cols>
    <col min="1" max="1" width="8.7265625" hidden="1" customWidth="1"/>
    <col min="2" max="2" width="19.7265625" customWidth="1"/>
    <col min="3" max="3" width="9.08984375" customWidth="1"/>
    <col min="4" max="4" width="16.1796875" customWidth="1"/>
    <col min="5" max="5" width="13.453125" customWidth="1"/>
    <col min="6" max="6" width="16.453125" customWidth="1"/>
    <col min="7" max="7" width="0.26953125" customWidth="1"/>
    <col min="8" max="8" width="11.81640625" customWidth="1"/>
    <col min="9" max="9" width="18.1796875" customWidth="1"/>
    <col min="10" max="10" width="13.08984375" customWidth="1"/>
    <col min="11" max="11" width="11" customWidth="1"/>
    <col min="12" max="12" width="22.7265625" customWidth="1"/>
    <col min="13" max="13" width="18.7265625" customWidth="1"/>
    <col min="16" max="16" width="11.1796875" customWidth="1"/>
    <col min="17" max="17" width="12.1796875" bestFit="1" customWidth="1"/>
  </cols>
  <sheetData>
    <row r="1" spans="2:17" ht="15" thickBot="1" x14ac:dyDescent="0.4"/>
    <row r="2" spans="2:17" s="28" customFormat="1" ht="48.5" customHeight="1" thickBot="1" x14ac:dyDescent="0.4">
      <c r="B2" s="26" t="s">
        <v>108</v>
      </c>
      <c r="C2" s="27" t="s">
        <v>51</v>
      </c>
      <c r="D2" s="27" t="s">
        <v>47</v>
      </c>
      <c r="E2" s="27" t="s">
        <v>111</v>
      </c>
      <c r="F2" s="27" t="s">
        <v>115</v>
      </c>
      <c r="G2" s="27" t="s">
        <v>112</v>
      </c>
      <c r="H2" s="27" t="s">
        <v>116</v>
      </c>
      <c r="I2" s="27" t="s">
        <v>117</v>
      </c>
      <c r="J2" s="27" t="s">
        <v>114</v>
      </c>
      <c r="K2" s="27" t="s">
        <v>3</v>
      </c>
      <c r="L2" s="27" t="s">
        <v>118</v>
      </c>
      <c r="M2" s="27" t="s">
        <v>113</v>
      </c>
    </row>
    <row r="3" spans="2:17" x14ac:dyDescent="0.35">
      <c r="B3" s="29" t="s">
        <v>12</v>
      </c>
      <c r="C3" s="23" t="str">
        <f>IF(B3=A3," ",VLOOKUP($B3,'Summer Product Financials'!$A$3:$O$96,3,FALSE))</f>
        <v>GAL</v>
      </c>
      <c r="D3" s="30" t="str">
        <f>IF(B3=A3," ",VLOOKUP($B3,'Summer Product Financials'!$A$3:$O$96,4,FALSE))</f>
        <v>Nitrogen FE</v>
      </c>
      <c r="E3" s="46">
        <f>IF(B3=A3," ",VLOOKUP($B3,'Summer Product Financials'!$A$3:$O$96,2,FALSE))</f>
        <v>250</v>
      </c>
      <c r="F3" s="48">
        <v>750</v>
      </c>
      <c r="G3" s="31">
        <f>IF(B3=A3," ",IF(F3&gt;=E3,1,0))</f>
        <v>1</v>
      </c>
      <c r="H3" s="32">
        <f>IF(B3=A3," ",VLOOKUP($B3,'Summer Product Financials'!$A$3:$O$96,5,FALSE))</f>
        <v>143</v>
      </c>
      <c r="I3" s="32">
        <f>H3*F3</f>
        <v>107250</v>
      </c>
      <c r="J3" s="33">
        <f>IF(B3=A3," ",VLOOKUP($B3,'Summer Product Financials'!$A$3:$O$96,8,FALSE))</f>
        <v>128.70000000000002</v>
      </c>
      <c r="K3" s="34">
        <f>IFERROR(IF(C3=B3," ",VLOOKUP($B3,'Summer Product Financials'!$A$3:$O$96,10,FALSE)*G3)," ")</f>
        <v>0.1</v>
      </c>
      <c r="L3" s="35">
        <f t="shared" ref="L3:L18" si="0">IF(B3=A3," ",H3*F3)</f>
        <v>107250</v>
      </c>
      <c r="M3" s="36">
        <f>IF(B3=A3," ",(J3-(J3*K3))*F3)</f>
        <v>86872.500000000015</v>
      </c>
      <c r="P3" s="20"/>
      <c r="Q3" s="20"/>
    </row>
    <row r="4" spans="2:17" x14ac:dyDescent="0.35">
      <c r="B4" s="38" t="s">
        <v>89</v>
      </c>
      <c r="C4" s="24" t="str">
        <f>IF(B4=A4," ",VLOOKUP($B4,'Summer Product Financials'!$A$3:$O$96,3,FALSE))</f>
        <v>TON</v>
      </c>
      <c r="D4" s="39" t="str">
        <f>IF(B4=A4," ",VLOOKUP($B4,'Summer Product Financials'!$A$3:$O$96,4,FALSE))</f>
        <v>Micronutrients</v>
      </c>
      <c r="E4" s="47">
        <f>IF(B4=A4," ",VLOOKUP($B4,'Summer Product Financials'!$A$3:$O$96,2,FALSE))</f>
        <v>22</v>
      </c>
      <c r="F4" s="49">
        <v>44</v>
      </c>
      <c r="G4" s="40">
        <f t="shared" ref="G4:G21" si="1">IF(B4=A4," ",IF(F4&gt;=E4,1,0))</f>
        <v>1</v>
      </c>
      <c r="H4" s="41">
        <f>IF(B4=A4," ",VLOOKUP($B4,'Summer Product Financials'!$A$3:$O$96,5,FALSE))</f>
        <v>1715</v>
      </c>
      <c r="I4" s="32">
        <f t="shared" ref="I4:I5" si="2">H4*F4</f>
        <v>75460</v>
      </c>
      <c r="J4" s="42">
        <f>IF(B4=A4," ",VLOOKUP($B4,'Summer Product Financials'!$A$3:$O$96,8,FALSE))</f>
        <v>1715</v>
      </c>
      <c r="K4" s="43">
        <f>IFERROR(IF(C4=B4," ",VLOOKUP($B4,'Summer Product Financials'!$A$3:$O$96,10,FALSE)*G4)," ")</f>
        <v>0.1</v>
      </c>
      <c r="L4" s="44">
        <f t="shared" si="0"/>
        <v>75460</v>
      </c>
      <c r="M4" s="50">
        <f t="shared" ref="M4:M18" si="3">IF(B4=A4," ",(J4-(J4*K4))*F4)</f>
        <v>67914</v>
      </c>
      <c r="P4" s="20"/>
      <c r="Q4" s="20"/>
    </row>
    <row r="5" spans="2:17" x14ac:dyDescent="0.35">
      <c r="B5" s="29" t="s">
        <v>104</v>
      </c>
      <c r="C5" s="23" t="str">
        <f>IF(B5=A5," ",VLOOKUP($B5,'Summer Product Financials'!$A$3:$O$96,3,FALSE))</f>
        <v>GAL</v>
      </c>
      <c r="D5" s="30" t="str">
        <f>IF(B5=A5," ",VLOOKUP($B5,'Summer Product Financials'!$A$3:$O$96,4,FALSE))</f>
        <v>Biostimulants</v>
      </c>
      <c r="E5" s="46">
        <f>IF(B5=A5," ",VLOOKUP($B5,'Summer Product Financials'!$A$3:$O$96,2,FALSE))</f>
        <v>265</v>
      </c>
      <c r="F5" s="49">
        <v>265</v>
      </c>
      <c r="G5" s="31">
        <f t="shared" si="1"/>
        <v>1</v>
      </c>
      <c r="H5" s="32">
        <f>IF(B5=A5," ",VLOOKUP($B5,'Summer Product Financials'!$A$3:$O$96,5,FALSE))</f>
        <v>36.950000000000003</v>
      </c>
      <c r="I5" s="32">
        <f t="shared" si="2"/>
        <v>9791.75</v>
      </c>
      <c r="J5" s="33">
        <f>IF(B5=A5," ",VLOOKUP($B5,'Summer Product Financials'!$A$3:$O$96,8,FALSE))</f>
        <v>36.950000000000003</v>
      </c>
      <c r="K5" s="34">
        <f>IFERROR(IF(C5=B5," ",VLOOKUP($B5,'Summer Product Financials'!$A$3:$O$96,10,FALSE)*G5)," ")</f>
        <v>0.02</v>
      </c>
      <c r="L5" s="35">
        <f t="shared" si="0"/>
        <v>9791.75</v>
      </c>
      <c r="M5" s="36">
        <f t="shared" si="3"/>
        <v>9595.9150000000009</v>
      </c>
      <c r="P5" s="20"/>
      <c r="Q5" s="20"/>
    </row>
    <row r="6" spans="2:17" x14ac:dyDescent="0.35">
      <c r="B6" s="38" t="s">
        <v>66</v>
      </c>
      <c r="C6" s="24" t="str">
        <f>IF(B6=A6," ",VLOOKUP($B6,'Summer Product Financials'!$A$3:$O$96,3,FALSE))</f>
        <v>GAL</v>
      </c>
      <c r="D6" s="39" t="str">
        <f>IF(B6=A6," ",VLOOKUP($B6,'Summer Product Financials'!$A$3:$O$96,4,FALSE))</f>
        <v>Phosphorus FE</v>
      </c>
      <c r="E6" s="46">
        <f>IF(B6=A6," ",VLOOKUP($B6,'Summer Product Financials'!$A$3:$O$96,2,FALSE))</f>
        <v>250</v>
      </c>
      <c r="F6" s="49">
        <v>250</v>
      </c>
      <c r="G6" s="40">
        <f t="shared" si="1"/>
        <v>1</v>
      </c>
      <c r="H6" s="41">
        <f>IF(B6=A6," ",VLOOKUP($B6,'Summer Product Financials'!$A$3:$O$96,5,FALSE))</f>
        <v>180</v>
      </c>
      <c r="I6" s="64">
        <f>H6*F6</f>
        <v>45000</v>
      </c>
      <c r="J6" s="42">
        <f>IF(B6=A6," ",VLOOKUP($B6,'Summer Product Financials'!$A$3:$O$96,8,FALSE))</f>
        <v>180</v>
      </c>
      <c r="K6" s="43">
        <f>IFERROR(IF(C6=B6," ",VLOOKUP($B6,'Summer Product Financials'!$A$3:$O$96,10,FALSE)*G6)," ")</f>
        <v>0.1</v>
      </c>
      <c r="L6" s="44">
        <f t="shared" si="0"/>
        <v>45000</v>
      </c>
      <c r="M6" s="50">
        <f t="shared" si="3"/>
        <v>40500</v>
      </c>
    </row>
    <row r="7" spans="2:17" x14ac:dyDescent="0.35">
      <c r="B7" s="29"/>
      <c r="C7" s="23" t="str">
        <f>IF(B7=A7," ",VLOOKUP($B7,'Summer Product Financials'!$A$3:$O$96,3,FALSE))</f>
        <v xml:space="preserve"> </v>
      </c>
      <c r="D7" s="30" t="str">
        <f>IF(B7=A7," ",VLOOKUP($B7,'Summer Product Financials'!$A$3:$O$96,4,FALSE))</f>
        <v xml:space="preserve"> </v>
      </c>
      <c r="E7" s="46" t="str">
        <f>IF(B7=A7," ",VLOOKUP($B7,'Summer Product Financials'!$A$3:$O$96,2,FALSE))</f>
        <v xml:space="preserve"> </v>
      </c>
      <c r="F7" s="49"/>
      <c r="G7" s="31" t="str">
        <f t="shared" si="1"/>
        <v xml:space="preserve"> </v>
      </c>
      <c r="H7" s="32" t="str">
        <f>IF(B7=A7," ",VLOOKUP($B7,'Summer Product Financials'!$A$3:$O$96,5,FALSE))</f>
        <v xml:space="preserve"> </v>
      </c>
      <c r="I7" s="63"/>
      <c r="J7" s="33" t="str">
        <f>IF(B7=A7," ",VLOOKUP($B7,'Summer Product Financials'!$A$3:$O$96,8,FALSE))</f>
        <v xml:space="preserve"> </v>
      </c>
      <c r="K7" s="34" t="str">
        <f>IFERROR(IF(C7=B7," ",VLOOKUP($B7,'Summer Product Financials'!$A$3:$O$96,10,FALSE)*G7)," ")</f>
        <v xml:space="preserve"> </v>
      </c>
      <c r="L7" s="35" t="str">
        <f t="shared" si="0"/>
        <v xml:space="preserve"> </v>
      </c>
      <c r="M7" s="36" t="str">
        <f t="shared" si="3"/>
        <v xml:space="preserve"> </v>
      </c>
    </row>
    <row r="8" spans="2:17" x14ac:dyDescent="0.35">
      <c r="B8" s="38"/>
      <c r="C8" s="24" t="str">
        <f>IF(B8=A8," ",VLOOKUP($B8,'Summer Product Financials'!$A$3:$O$96,3,FALSE))</f>
        <v xml:space="preserve"> </v>
      </c>
      <c r="D8" s="39" t="str">
        <f>IF(B8=A8," ",VLOOKUP($B8,'Summer Product Financials'!$A$3:$O$96,4,FALSE))</f>
        <v xml:space="preserve"> </v>
      </c>
      <c r="E8" s="47" t="str">
        <f>IF(B8=A8," ",VLOOKUP($B8,'Summer Product Financials'!$A$3:$O$96,2,FALSE))</f>
        <v xml:space="preserve"> </v>
      </c>
      <c r="F8" s="49"/>
      <c r="G8" s="40" t="str">
        <f t="shared" si="1"/>
        <v xml:space="preserve"> </v>
      </c>
      <c r="H8" s="41" t="str">
        <f>IF(B8=A8," ",VLOOKUP($B8,'Summer Product Financials'!$A$3:$O$96,5,FALSE))</f>
        <v xml:space="preserve"> </v>
      </c>
      <c r="I8" s="32"/>
      <c r="J8" s="42" t="str">
        <f>IF(B8=A8," ",VLOOKUP($B8,'Summer Product Financials'!$A$3:$O$96,8,FALSE))</f>
        <v xml:space="preserve"> </v>
      </c>
      <c r="K8" s="43" t="str">
        <f>IFERROR(IF(C8=B8," ",VLOOKUP($B8,'Summer Product Financials'!$A$3:$O$96,10,FALSE)*G8)," ")</f>
        <v xml:space="preserve"> </v>
      </c>
      <c r="L8" s="44" t="str">
        <f t="shared" si="0"/>
        <v xml:space="preserve"> </v>
      </c>
      <c r="M8" s="50" t="str">
        <f t="shared" si="3"/>
        <v xml:space="preserve"> </v>
      </c>
      <c r="P8" s="20"/>
    </row>
    <row r="9" spans="2:17" x14ac:dyDescent="0.35">
      <c r="B9" s="29"/>
      <c r="C9" s="23" t="str">
        <f>IF(B9=A9," ",VLOOKUP($B9,'Summer Product Financials'!$A$3:$O$96,3,FALSE))</f>
        <v xml:space="preserve"> </v>
      </c>
      <c r="D9" s="30" t="str">
        <f>IF(B9=A9," ",VLOOKUP($B9,'Summer Product Financials'!$A$3:$O$96,4,FALSE))</f>
        <v xml:space="preserve"> </v>
      </c>
      <c r="E9" s="46" t="str">
        <f>IF(B9=A9," ",VLOOKUP($B9,'Summer Product Financials'!$A$3:$O$96,2,FALSE))</f>
        <v xml:space="preserve"> </v>
      </c>
      <c r="F9" s="49"/>
      <c r="G9" s="31" t="str">
        <f t="shared" si="1"/>
        <v xml:space="preserve"> </v>
      </c>
      <c r="H9" s="32" t="str">
        <f>IF(B9=A9," ",VLOOKUP($B9,'Summer Product Financials'!$A$3:$O$96,5,FALSE))</f>
        <v xml:space="preserve"> </v>
      </c>
      <c r="I9" s="32"/>
      <c r="J9" s="33" t="str">
        <f>IF(B9=A9," ",VLOOKUP($B9,'Summer Product Financials'!$A$3:$O$96,8,FALSE))</f>
        <v xml:space="preserve"> </v>
      </c>
      <c r="K9" s="34" t="str">
        <f>IFERROR(IF(C9=B9," ",VLOOKUP($B9,'Summer Product Financials'!$A$3:$O$96,10,FALSE)*G9)," ")</f>
        <v xml:space="preserve"> </v>
      </c>
      <c r="L9" s="35" t="str">
        <f t="shared" si="0"/>
        <v xml:space="preserve"> </v>
      </c>
      <c r="M9" s="36" t="str">
        <f t="shared" si="3"/>
        <v xml:space="preserve"> </v>
      </c>
      <c r="P9" s="20"/>
    </row>
    <row r="10" spans="2:17" x14ac:dyDescent="0.35">
      <c r="B10" s="38"/>
      <c r="C10" s="24" t="str">
        <f>IF(B10=A10," ",VLOOKUP($B10,'Summer Product Financials'!$A$3:$O$96,3,FALSE))</f>
        <v xml:space="preserve"> </v>
      </c>
      <c r="D10" s="39" t="str">
        <f>IF(B10=A10," ",VLOOKUP($B10,'Summer Product Financials'!$A$3:$O$96,4,FALSE))</f>
        <v xml:space="preserve"> </v>
      </c>
      <c r="E10" s="47" t="str">
        <f>IF(B10=A10," ",VLOOKUP($B10,'Summer Product Financials'!$A$3:$O$96,2,FALSE))</f>
        <v xml:space="preserve"> </v>
      </c>
      <c r="F10" s="49"/>
      <c r="G10" s="40" t="str">
        <f t="shared" si="1"/>
        <v xml:space="preserve"> </v>
      </c>
      <c r="H10" s="41" t="str">
        <f>IF(B10=A10," ",VLOOKUP($B10,'Summer Product Financials'!$A$3:$O$96,5,FALSE))</f>
        <v xml:space="preserve"> </v>
      </c>
      <c r="I10" s="32"/>
      <c r="J10" s="42" t="str">
        <f>IF(B10=A10," ",VLOOKUP($B10,'Summer Product Financials'!$A$3:$O$96,8,FALSE))</f>
        <v xml:space="preserve"> </v>
      </c>
      <c r="K10" s="43" t="str">
        <f>IFERROR(IF(C10=B10," ",VLOOKUP($B10,'Summer Product Financials'!$A$3:$O$96,10,FALSE)*G10)," ")</f>
        <v xml:space="preserve"> </v>
      </c>
      <c r="L10" s="44" t="str">
        <f t="shared" si="0"/>
        <v xml:space="preserve"> </v>
      </c>
      <c r="M10" s="50" t="str">
        <f t="shared" si="3"/>
        <v xml:space="preserve"> </v>
      </c>
      <c r="P10" s="20"/>
      <c r="Q10" s="21"/>
    </row>
    <row r="11" spans="2:17" x14ac:dyDescent="0.35">
      <c r="B11" s="29"/>
      <c r="C11" s="23" t="str">
        <f>IF(B11=A11," ",VLOOKUP($B11,'Summer Product Financials'!$A$3:$O$96,3,FALSE))</f>
        <v xml:space="preserve"> </v>
      </c>
      <c r="D11" s="30" t="str">
        <f>IF(B11=A11," ",VLOOKUP($B11,'Summer Product Financials'!$A$3:$O$96,4,FALSE))</f>
        <v xml:space="preserve"> </v>
      </c>
      <c r="E11" s="46" t="str">
        <f>IF(B11=A11," ",VLOOKUP($B11,'Summer Product Financials'!$A$3:$O$96,2,FALSE))</f>
        <v xml:space="preserve"> </v>
      </c>
      <c r="F11" s="49"/>
      <c r="G11" s="31" t="str">
        <f t="shared" si="1"/>
        <v xml:space="preserve"> </v>
      </c>
      <c r="H11" s="32" t="str">
        <f>IF(B11=A11," ",VLOOKUP($B11,'Summer Product Financials'!$A$3:$O$96,5,FALSE))</f>
        <v xml:space="preserve"> </v>
      </c>
      <c r="I11" s="32"/>
      <c r="J11" s="33" t="str">
        <f>IF(B11=A11," ",VLOOKUP($B11,'Summer Product Financials'!$A$3:$O$96,8,FALSE))</f>
        <v xml:space="preserve"> </v>
      </c>
      <c r="K11" s="34" t="str">
        <f>IFERROR(IF(C11=B11," ",VLOOKUP($B11,'Summer Product Financials'!$A$3:$O$96,10,FALSE)*G11)," ")</f>
        <v xml:space="preserve"> </v>
      </c>
      <c r="L11" s="35" t="str">
        <f t="shared" si="0"/>
        <v xml:space="preserve"> </v>
      </c>
      <c r="M11" s="36" t="str">
        <f t="shared" si="3"/>
        <v xml:space="preserve"> </v>
      </c>
    </row>
    <row r="12" spans="2:17" x14ac:dyDescent="0.35">
      <c r="B12" s="38"/>
      <c r="C12" s="24" t="str">
        <f>IF(B12=A12," ",VLOOKUP($B12,'Summer Product Financials'!$A$3:$O$96,3,FALSE))</f>
        <v xml:space="preserve"> </v>
      </c>
      <c r="D12" s="39" t="str">
        <f>IF(B12=A12," ",VLOOKUP($B12,'Summer Product Financials'!$A$3:$O$96,4,FALSE))</f>
        <v xml:space="preserve"> </v>
      </c>
      <c r="E12" s="47" t="str">
        <f>IF(B12=A12," ",VLOOKUP($B12,'Summer Product Financials'!$A$3:$O$96,2,FALSE))</f>
        <v xml:space="preserve"> </v>
      </c>
      <c r="F12" s="49"/>
      <c r="G12" s="40" t="str">
        <f t="shared" si="1"/>
        <v xml:space="preserve"> </v>
      </c>
      <c r="H12" s="41" t="str">
        <f>IF(B12=A12," ",VLOOKUP($B12,'Summer Product Financials'!$A$3:$O$96,5,FALSE))</f>
        <v xml:space="preserve"> </v>
      </c>
      <c r="I12" s="41"/>
      <c r="J12" s="42" t="str">
        <f>IF(B12=A12," ",VLOOKUP($B12,'Summer Product Financials'!$A$3:$O$96,8,FALSE))</f>
        <v xml:space="preserve"> </v>
      </c>
      <c r="K12" s="43" t="str">
        <f>IFERROR(IF(C12=B12," ",VLOOKUP($B12,'Summer Product Financials'!$A$3:$O$96,10,FALSE)*G12)," ")</f>
        <v xml:space="preserve"> </v>
      </c>
      <c r="L12" s="44" t="str">
        <f t="shared" si="0"/>
        <v xml:space="preserve"> </v>
      </c>
      <c r="M12" s="50" t="str">
        <f t="shared" si="3"/>
        <v xml:space="preserve"> </v>
      </c>
    </row>
    <row r="13" spans="2:17" x14ac:dyDescent="0.35">
      <c r="B13" s="29"/>
      <c r="C13" s="23" t="str">
        <f>IF(B13=A13," ",VLOOKUP($B13,'Summer Product Financials'!$A$3:$O$96,3,FALSE))</f>
        <v xml:space="preserve"> </v>
      </c>
      <c r="D13" s="30" t="str">
        <f>IF(B13=A13," ",VLOOKUP($B13,'Summer Product Financials'!$A$3:$O$96,4,FALSE))</f>
        <v xml:space="preserve"> </v>
      </c>
      <c r="E13" s="46" t="str">
        <f>IF(B13=A13," ",VLOOKUP($B13,'Summer Product Financials'!$A$3:$O$96,2,FALSE))</f>
        <v xml:space="preserve"> </v>
      </c>
      <c r="F13" s="49"/>
      <c r="G13" s="31" t="str">
        <f t="shared" si="1"/>
        <v xml:space="preserve"> </v>
      </c>
      <c r="H13" s="32" t="str">
        <f>IF(B13=A13," ",VLOOKUP($B13,'Summer Product Financials'!$A$3:$O$96,5,FALSE))</f>
        <v xml:space="preserve"> </v>
      </c>
      <c r="I13" s="32"/>
      <c r="J13" s="33" t="str">
        <f>IF(B13=A13," ",VLOOKUP($B13,'Summer Product Financials'!$A$3:$O$96,8,FALSE))</f>
        <v xml:space="preserve"> </v>
      </c>
      <c r="K13" s="34" t="str">
        <f>IFERROR(IF(C13=B13," ",VLOOKUP($B13,'Summer Product Financials'!$A$3:$O$96,10,FALSE)*G13)," ")</f>
        <v xml:space="preserve"> </v>
      </c>
      <c r="L13" s="35" t="str">
        <f t="shared" si="0"/>
        <v xml:space="preserve"> </v>
      </c>
      <c r="M13" s="36" t="str">
        <f t="shared" si="3"/>
        <v xml:space="preserve"> </v>
      </c>
    </row>
    <row r="14" spans="2:17" x14ac:dyDescent="0.35">
      <c r="B14" s="38"/>
      <c r="C14" s="24" t="str">
        <f>IF(B14=A14," ",VLOOKUP($B14,'Summer Product Financials'!$A$3:$O$96,3,FALSE))</f>
        <v xml:space="preserve"> </v>
      </c>
      <c r="D14" s="39" t="str">
        <f>IF(B14=A14," ",VLOOKUP($B14,'Summer Product Financials'!$A$3:$O$96,4,FALSE))</f>
        <v xml:space="preserve"> </v>
      </c>
      <c r="E14" s="47" t="str">
        <f>IF(B14=A14," ",VLOOKUP($B14,'Summer Product Financials'!$A$3:$O$96,2,FALSE))</f>
        <v xml:space="preserve"> </v>
      </c>
      <c r="F14" s="49"/>
      <c r="G14" s="40" t="str">
        <f t="shared" si="1"/>
        <v xml:space="preserve"> </v>
      </c>
      <c r="H14" s="41" t="str">
        <f>IF(B14=A14," ",VLOOKUP($B14,'Summer Product Financials'!$A$3:$O$96,5,FALSE))</f>
        <v xml:space="preserve"> </v>
      </c>
      <c r="I14" s="41"/>
      <c r="J14" s="42" t="str">
        <f>IF(B14=A14," ",VLOOKUP($B14,'Summer Product Financials'!$A$3:$O$96,8,FALSE))</f>
        <v xml:space="preserve"> </v>
      </c>
      <c r="K14" s="43" t="str">
        <f>IFERROR(IF(C14=B14," ",VLOOKUP($B14,'Summer Product Financials'!$A$3:$O$96,10,FALSE)*G14)," ")</f>
        <v xml:space="preserve"> </v>
      </c>
      <c r="L14" s="44" t="str">
        <f t="shared" si="0"/>
        <v xml:space="preserve"> </v>
      </c>
      <c r="M14" s="50" t="str">
        <f t="shared" si="3"/>
        <v xml:space="preserve"> </v>
      </c>
      <c r="Q14" s="21"/>
    </row>
    <row r="15" spans="2:17" x14ac:dyDescent="0.35">
      <c r="B15" s="29"/>
      <c r="C15" s="23" t="str">
        <f>IF(B15=A15," ",VLOOKUP($B15,'Summer Product Financials'!$A$3:$O$96,3,FALSE))</f>
        <v xml:space="preserve"> </v>
      </c>
      <c r="D15" s="30" t="str">
        <f>IF(B15=A15," ",VLOOKUP($B15,'Summer Product Financials'!$A$3:$O$96,4,FALSE))</f>
        <v xml:space="preserve"> </v>
      </c>
      <c r="E15" s="46" t="str">
        <f>IF(B15=A15," ",VLOOKUP($B15,'Summer Product Financials'!$A$3:$O$96,2,FALSE))</f>
        <v xml:space="preserve"> </v>
      </c>
      <c r="F15" s="49"/>
      <c r="G15" s="31" t="str">
        <f t="shared" si="1"/>
        <v xml:space="preserve"> </v>
      </c>
      <c r="H15" s="32" t="str">
        <f>IF(B15=A15," ",VLOOKUP($B15,'Summer Product Financials'!$A$3:$O$96,5,FALSE))</f>
        <v xml:space="preserve"> </v>
      </c>
      <c r="I15" s="32"/>
      <c r="J15" s="33" t="str">
        <f>IF(B15=A15," ",VLOOKUP($B15,'Summer Product Financials'!$A$3:$O$96,8,FALSE))</f>
        <v xml:space="preserve"> </v>
      </c>
      <c r="K15" s="34" t="str">
        <f>IFERROR(IF(C15=B15," ",VLOOKUP($B15,'Summer Product Financials'!$A$3:$O$96,10,FALSE)*G15)," ")</f>
        <v xml:space="preserve"> </v>
      </c>
      <c r="L15" s="35" t="str">
        <f t="shared" si="0"/>
        <v xml:space="preserve"> </v>
      </c>
      <c r="M15" s="36" t="str">
        <f t="shared" si="3"/>
        <v xml:space="preserve"> </v>
      </c>
    </row>
    <row r="16" spans="2:17" x14ac:dyDescent="0.35">
      <c r="B16" s="38"/>
      <c r="C16" s="24" t="str">
        <f>IF(B16=A16," ",VLOOKUP($B16,'Summer Product Financials'!$A$3:$O$96,3,FALSE))</f>
        <v xml:space="preserve"> </v>
      </c>
      <c r="D16" s="39" t="str">
        <f>IF(B16=A16," ",VLOOKUP($B16,'Summer Product Financials'!$A$3:$O$96,4,FALSE))</f>
        <v xml:space="preserve"> </v>
      </c>
      <c r="E16" s="47" t="str">
        <f>IF(B16=A16," ",VLOOKUP($B16,'Summer Product Financials'!$A$3:$O$96,2,FALSE))</f>
        <v xml:space="preserve"> </v>
      </c>
      <c r="F16" s="49"/>
      <c r="G16" s="40" t="str">
        <f t="shared" si="1"/>
        <v xml:space="preserve"> </v>
      </c>
      <c r="H16" s="41" t="str">
        <f>IF(B16=A16," ",VLOOKUP($B16,'Summer Product Financials'!$A$3:$O$96,5,FALSE))</f>
        <v xml:space="preserve"> </v>
      </c>
      <c r="I16" s="41"/>
      <c r="J16" s="42" t="str">
        <f>IF(B16=A16," ",VLOOKUP($B16,'Summer Product Financials'!$A$3:$O$96,8,FALSE))</f>
        <v xml:space="preserve"> </v>
      </c>
      <c r="K16" s="43" t="str">
        <f>IFERROR(IF(C16=B16," ",VLOOKUP($B16,'Summer Product Financials'!$A$3:$O$96,10,FALSE)*G16)," ")</f>
        <v xml:space="preserve"> </v>
      </c>
      <c r="L16" s="44" t="str">
        <f t="shared" si="0"/>
        <v xml:space="preserve"> </v>
      </c>
      <c r="M16" s="50" t="str">
        <f t="shared" si="3"/>
        <v xml:space="preserve"> </v>
      </c>
    </row>
    <row r="17" spans="1:13" x14ac:dyDescent="0.35">
      <c r="B17" s="29"/>
      <c r="C17" s="23" t="str">
        <f>IF(B17=A17," ",VLOOKUP($B17,'Summer Product Financials'!$A$3:$O$96,3,FALSE))</f>
        <v xml:space="preserve"> </v>
      </c>
      <c r="D17" s="30" t="str">
        <f>IF(B17=A17," ",VLOOKUP($B17,'Summer Product Financials'!$A$3:$O$96,4,FALSE))</f>
        <v xml:space="preserve"> </v>
      </c>
      <c r="E17" s="46" t="str">
        <f>IF(B17=A17," ",VLOOKUP($B17,'Summer Product Financials'!$A$3:$O$96,2,FALSE))</f>
        <v xml:space="preserve"> </v>
      </c>
      <c r="F17" s="49"/>
      <c r="G17" s="31" t="str">
        <f t="shared" si="1"/>
        <v xml:space="preserve"> </v>
      </c>
      <c r="H17" s="32" t="str">
        <f>IF(B17=A17," ",VLOOKUP($B17,'Summer Product Financials'!$A$3:$O$96,5,FALSE))</f>
        <v xml:space="preserve"> </v>
      </c>
      <c r="I17" s="32"/>
      <c r="J17" s="33" t="str">
        <f>IF(B17=A17," ",VLOOKUP($B17,'Summer Product Financials'!$A$3:$O$96,8,FALSE))</f>
        <v xml:space="preserve"> </v>
      </c>
      <c r="K17" s="34" t="str">
        <f>IFERROR(IF(C17=B17," ",VLOOKUP($B17,'Summer Product Financials'!$A$3:$O$96,10,FALSE)*G17)," ")</f>
        <v xml:space="preserve"> </v>
      </c>
      <c r="L17" s="35" t="str">
        <f t="shared" si="0"/>
        <v xml:space="preserve"> </v>
      </c>
      <c r="M17" s="36" t="str">
        <f t="shared" si="3"/>
        <v xml:space="preserve"> </v>
      </c>
    </row>
    <row r="18" spans="1:13" ht="15" thickBot="1" x14ac:dyDescent="0.4">
      <c r="B18" s="38"/>
      <c r="C18" s="24" t="str">
        <f>IF(B18=A18," ",VLOOKUP($B18,'Summer Product Financials'!$A$3:$O$96,3,FALSE))</f>
        <v xml:space="preserve"> </v>
      </c>
      <c r="D18" s="39" t="str">
        <f>IF(B18=A18," ",VLOOKUP($B18,'Summer Product Financials'!$A$3:$O$96,4,FALSE))</f>
        <v xml:space="preserve"> </v>
      </c>
      <c r="E18" s="47" t="str">
        <f>IF(B18=A18," ",VLOOKUP($B18,'Summer Product Financials'!$A$3:$O$96,2,FALSE))</f>
        <v xml:space="preserve"> </v>
      </c>
      <c r="F18" s="49"/>
      <c r="G18" s="40" t="str">
        <f t="shared" si="1"/>
        <v xml:space="preserve"> </v>
      </c>
      <c r="H18" s="41" t="str">
        <f>IF(B18=A18," ",VLOOKUP($B18,'Summer Product Financials'!$A$3:$O$96,5,FALSE))</f>
        <v xml:space="preserve"> </v>
      </c>
      <c r="I18" s="41"/>
      <c r="J18" s="42" t="str">
        <f>IF(B18=A18," ",VLOOKUP($B18,'Summer Product Financials'!$A$3:$O$96,8,FALSE))</f>
        <v xml:space="preserve"> </v>
      </c>
      <c r="K18" s="43" t="str">
        <f>IFERROR(IF(C18=B18," ",VLOOKUP($B18,'Summer Product Financials'!$A$3:$O$96,10,FALSE)*G18)," ")</f>
        <v xml:space="preserve"> </v>
      </c>
      <c r="L18" s="44" t="str">
        <f t="shared" si="0"/>
        <v xml:space="preserve"> </v>
      </c>
      <c r="M18" s="50" t="str">
        <f t="shared" si="3"/>
        <v xml:space="preserve"> </v>
      </c>
    </row>
    <row r="19" spans="1:13" ht="19" thickBot="1" x14ac:dyDescent="0.4">
      <c r="A19" s="22"/>
      <c r="B19" s="29"/>
      <c r="C19" s="23" t="str">
        <f>IF(B19=A19," ",VLOOKUP($B19,'Summer Product Financials'!$A$3:$O$96,3,FALSE))</f>
        <v xml:space="preserve"> </v>
      </c>
      <c r="D19" s="30" t="str">
        <f>IF(B19=A19," ",VLOOKUP($B19,'Summer Product Financials'!$A$3:$O$96,4,FALSE))</f>
        <v xml:space="preserve"> </v>
      </c>
      <c r="E19" s="46" t="str">
        <f>IF(B19=A19," ",VLOOKUP($B19,'Summer Product Financials'!$A$3:$O$96,2,FALSE))</f>
        <v xml:space="preserve"> </v>
      </c>
      <c r="F19" s="49"/>
      <c r="G19" s="31" t="str">
        <f t="shared" si="1"/>
        <v xml:space="preserve"> </v>
      </c>
      <c r="H19" s="32" t="str">
        <f>IF(B19=A19," ",VLOOKUP($B19,'Summer Product Financials'!$A$3:$O$96,5,FALSE))</f>
        <v xml:space="preserve"> </v>
      </c>
      <c r="I19" s="32"/>
      <c r="J19" s="33" t="str">
        <f>IF(B19=A19," ",VLOOKUP($B19,'Summer Product Financials'!$A$3:$O$96,8,FALSE))</f>
        <v xml:space="preserve"> </v>
      </c>
      <c r="K19" s="76" t="str">
        <f>IFERROR(IF(C19=B19," ",VLOOKUP($B19,'Summer Product Financials'!$A$3:$O$96,10,FALSE)*G19)," ")</f>
        <v xml:space="preserve"> </v>
      </c>
      <c r="L19" s="51" t="s">
        <v>117</v>
      </c>
      <c r="M19" s="81">
        <f>SUM(I3:I20)</f>
        <v>237501.75</v>
      </c>
    </row>
    <row r="20" spans="1:13" ht="37.5" thickBot="1" x14ac:dyDescent="0.4">
      <c r="B20" s="38"/>
      <c r="C20" s="24" t="str">
        <f>IF(B20=A20," ",VLOOKUP($B20,'Summer Product Financials'!$A$3:$O$96,3,FALSE))</f>
        <v xml:space="preserve"> </v>
      </c>
      <c r="D20" s="39" t="str">
        <f>IF(B20=A20," ",VLOOKUP($B20,'Summer Product Financials'!$A$3:$O$96,4,FALSE))</f>
        <v xml:space="preserve"> </v>
      </c>
      <c r="E20" s="47" t="str">
        <f>IF(B20=A20," ",VLOOKUP($B20,'Summer Product Financials'!$A$3:$O$96,2,FALSE))</f>
        <v xml:space="preserve"> </v>
      </c>
      <c r="F20" s="49"/>
      <c r="G20" s="40" t="str">
        <f t="shared" si="1"/>
        <v xml:space="preserve"> </v>
      </c>
      <c r="H20" s="41" t="str">
        <f>IF(B20=A20," ",VLOOKUP($B20,'Summer Product Financials'!$A$3:$O$96,5,FALSE))</f>
        <v xml:space="preserve"> </v>
      </c>
      <c r="I20" s="41"/>
      <c r="J20" s="42" t="str">
        <f>IF(B20=A20," ",VLOOKUP($B20,'Summer Product Financials'!$A$3:$O$96,8,FALSE))</f>
        <v xml:space="preserve"> </v>
      </c>
      <c r="K20" s="77" t="str">
        <f>IFERROR(IF(C20=B20," ",VLOOKUP($B20,'Summer Product Financials'!$A$3:$O$96,10,FALSE)*G20)," ")</f>
        <v xml:space="preserve"> </v>
      </c>
      <c r="L20" s="52" t="s">
        <v>126</v>
      </c>
      <c r="M20" s="82">
        <f>SUM(M3:M7)</f>
        <v>204882.41500000001</v>
      </c>
    </row>
    <row r="21" spans="1:13" ht="37" x14ac:dyDescent="0.35">
      <c r="B21" s="38"/>
      <c r="C21" s="24" t="str">
        <f>IF(B21=A21," ",VLOOKUP($B21,'Summer Product Financials'!$A$3:$O$96,3,FALSE))</f>
        <v xml:space="preserve"> </v>
      </c>
      <c r="D21" s="39" t="str">
        <f>IF(B21=A21," ",VLOOKUP($B21,'Summer Product Financials'!$A$3:$O$96,4,FALSE))</f>
        <v xml:space="preserve"> </v>
      </c>
      <c r="E21" s="47" t="str">
        <f>IF(B21=A21," ",VLOOKUP($B21,'Summer Product Financials'!$A$3:$O$96,2,FALSE))</f>
        <v xml:space="preserve"> </v>
      </c>
      <c r="F21" s="49"/>
      <c r="G21" s="40" t="str">
        <f t="shared" si="1"/>
        <v xml:space="preserve"> </v>
      </c>
      <c r="H21" s="41" t="str">
        <f>IF(B21=A21," ",VLOOKUP($B21,'Summer Product Financials'!$A$3:$O$96,5,FALSE))</f>
        <v xml:space="preserve"> </v>
      </c>
      <c r="I21" s="41"/>
      <c r="J21" s="42" t="str">
        <f>IF(B21=A21," ",VLOOKUP($B21,'Summer Product Financials'!$A$3:$O$96,8,FALSE))</f>
        <v xml:space="preserve"> </v>
      </c>
      <c r="K21" s="77" t="str">
        <f>IFERROR(IF(C21=B21," ",VLOOKUP($B21,'Summer Product Financials'!$A$3:$O$96,10,FALSE)*G21)," ")</f>
        <v xml:space="preserve"> </v>
      </c>
      <c r="L21" s="74" t="s">
        <v>124</v>
      </c>
      <c r="M21" s="83">
        <f>M19-M20</f>
        <v>32619.334999999992</v>
      </c>
    </row>
    <row r="22" spans="1:13" ht="43" customHeight="1" thickBot="1" x14ac:dyDescent="0.4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78" t="s">
        <v>123</v>
      </c>
      <c r="M22" s="75">
        <f>D28*M20</f>
        <v>12292.9449</v>
      </c>
    </row>
    <row r="23" spans="1:13" ht="44" thickBot="1" x14ac:dyDescent="0.4">
      <c r="B23" s="65"/>
      <c r="C23" s="66" t="s">
        <v>119</v>
      </c>
      <c r="D23" s="66"/>
      <c r="E23" s="66" t="s">
        <v>120</v>
      </c>
      <c r="F23" s="67" t="s">
        <v>121</v>
      </c>
      <c r="L23" s="79" t="s">
        <v>125</v>
      </c>
      <c r="M23" s="80">
        <f>SUM(M21:M22)</f>
        <v>44912.279899999994</v>
      </c>
    </row>
    <row r="24" spans="1:13" x14ac:dyDescent="0.35">
      <c r="B24" s="68" t="s">
        <v>48</v>
      </c>
      <c r="C24" s="31">
        <f>IFERROR(COUNTIFS($D$3:$D$22,B24,$G$3:$G$22,1)/COUNTIFS($D$3:$D$22,B24,$G$3:$G$22,1),0)</f>
        <v>1</v>
      </c>
      <c r="D24" s="31"/>
      <c r="E24" s="31">
        <v>0</v>
      </c>
      <c r="F24" s="37">
        <v>0</v>
      </c>
      <c r="L24" t="s">
        <v>127</v>
      </c>
    </row>
    <row r="25" spans="1:13" x14ac:dyDescent="0.35">
      <c r="B25" s="69" t="s">
        <v>49</v>
      </c>
      <c r="C25" s="40">
        <f>IFERROR(COUNTIFS($D$3:$D$22,B25,$G$3:$G$22,1)/COUNTIFS($D$3:$D$22,B25,$G$3:$G$22,1),0)</f>
        <v>1</v>
      </c>
      <c r="D25" s="40"/>
      <c r="E25" s="40">
        <v>1</v>
      </c>
      <c r="F25" s="45">
        <v>0</v>
      </c>
    </row>
    <row r="26" spans="1:13" x14ac:dyDescent="0.35">
      <c r="B26" s="68" t="s">
        <v>50</v>
      </c>
      <c r="C26" s="31">
        <f>IFERROR(COUNTIFS($D$3:$D$22,B26,$G$3:$G$22,1)/COUNTIFS($D$3:$D$22,B26,$G$3:$G$22,1),0)</f>
        <v>1</v>
      </c>
      <c r="D26" s="31"/>
      <c r="E26" s="31">
        <v>2</v>
      </c>
      <c r="F26" s="37">
        <v>0.02</v>
      </c>
    </row>
    <row r="27" spans="1:13" x14ac:dyDescent="0.35">
      <c r="B27" s="69" t="s">
        <v>52</v>
      </c>
      <c r="C27" s="40">
        <f>IFERROR(COUNTIFS($D$3:$D$22,B27,$G$3:$G$22,1)/COUNTIFS($D$3:$D$22,B27,$G$3:$G$22,1),0)</f>
        <v>1</v>
      </c>
      <c r="D27" s="40"/>
      <c r="E27" s="40">
        <v>3</v>
      </c>
      <c r="F27" s="45">
        <v>0.04</v>
      </c>
    </row>
    <row r="28" spans="1:13" ht="15" thickBot="1" x14ac:dyDescent="0.4">
      <c r="B28" s="70" t="s">
        <v>122</v>
      </c>
      <c r="C28" s="71">
        <f>SUM(C24:C27)</f>
        <v>4</v>
      </c>
      <c r="D28" s="72" cm="1">
        <f t="array" ref="D28">_xlfn.IFS(C28&lt;2,0,C28=2,2%,C28=3,4%,C28=4,6%)</f>
        <v>0.06</v>
      </c>
      <c r="E28" s="71">
        <v>4</v>
      </c>
      <c r="F28" s="73">
        <v>0.06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D70EA8-15A3-42C5-A2C0-D732D542011E}">
          <x14:formula1>
            <xm:f>'Summer Product Financials'!$A$3:$A$96</xm:f>
          </x14:formula1>
          <xm:sqref>B3:B21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2D9D-BAC7-41A2-B9EE-A5EB78B50AEB}">
  <sheetPr filterMode="1"/>
  <dimension ref="A1:S100"/>
  <sheetViews>
    <sheetView zoomScale="105" zoomScaleNormal="55" workbookViewId="0">
      <selection activeCell="B46" sqref="A1:S100"/>
    </sheetView>
  </sheetViews>
  <sheetFormatPr defaultRowHeight="14.5" x14ac:dyDescent="0.35"/>
  <cols>
    <col min="1" max="4" width="31.54296875" customWidth="1"/>
    <col min="5" max="5" width="20.08984375" customWidth="1"/>
    <col min="6" max="7" width="26.26953125" customWidth="1"/>
    <col min="8" max="8" width="16.08984375" customWidth="1"/>
    <col min="9" max="9" width="12.1796875" customWidth="1"/>
    <col min="10" max="10" width="18.26953125" customWidth="1"/>
    <col min="11" max="11" width="15.6328125" customWidth="1"/>
    <col min="12" max="12" width="14.08984375" customWidth="1"/>
    <col min="13" max="13" width="8.7265625" style="6" customWidth="1"/>
    <col min="14" max="14" width="13.36328125" customWidth="1"/>
    <col min="15" max="16" width="11.81640625" customWidth="1"/>
    <col min="17" max="17" width="12.1796875" customWidth="1"/>
    <col min="18" max="18" width="12.6328125" customWidth="1"/>
    <col min="19" max="19" width="15.08984375" customWidth="1"/>
    <col min="20" max="20" width="24" customWidth="1"/>
  </cols>
  <sheetData>
    <row r="1" spans="1:19" x14ac:dyDescent="0.35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9"/>
      <c r="N1" s="84"/>
      <c r="O1" s="84"/>
      <c r="P1" s="84"/>
      <c r="Q1" s="84"/>
      <c r="R1" s="84"/>
      <c r="S1" s="84"/>
    </row>
    <row r="2" spans="1:19" s="8" customFormat="1" ht="43.75" customHeight="1" x14ac:dyDescent="0.35">
      <c r="A2" s="7" t="s">
        <v>4</v>
      </c>
      <c r="B2" s="7" t="s">
        <v>111</v>
      </c>
      <c r="C2" s="7" t="s">
        <v>51</v>
      </c>
      <c r="D2" s="7" t="s">
        <v>47</v>
      </c>
      <c r="E2" s="7" t="s">
        <v>0</v>
      </c>
      <c r="F2" s="7"/>
      <c r="G2" s="7"/>
      <c r="H2" s="11" t="s">
        <v>1</v>
      </c>
      <c r="I2" s="7" t="s">
        <v>2</v>
      </c>
      <c r="J2" s="7" t="s">
        <v>3</v>
      </c>
      <c r="K2" s="7" t="s">
        <v>106</v>
      </c>
      <c r="L2" s="7" t="s">
        <v>107</v>
      </c>
      <c r="M2" s="16"/>
      <c r="N2" s="53"/>
      <c r="O2" s="53"/>
      <c r="P2" s="53"/>
      <c r="Q2" s="53"/>
      <c r="R2" s="53"/>
      <c r="S2" s="53"/>
    </row>
    <row r="3" spans="1:19" hidden="1" x14ac:dyDescent="0.35">
      <c r="A3" s="3" t="s">
        <v>5</v>
      </c>
      <c r="B3" s="3">
        <v>180</v>
      </c>
      <c r="C3" s="3" t="s">
        <v>109</v>
      </c>
      <c r="D3" s="3" t="s">
        <v>48</v>
      </c>
      <c r="E3" s="1">
        <v>104.75</v>
      </c>
      <c r="F3" s="1"/>
      <c r="G3" s="4"/>
      <c r="H3" s="5">
        <f>E3*0.97</f>
        <v>101.6075</v>
      </c>
      <c r="I3" s="4">
        <f>(E3-H3)/E3</f>
        <v>2.9999999999999985E-2</v>
      </c>
      <c r="J3" s="4">
        <v>0.05</v>
      </c>
      <c r="K3" s="5">
        <f>(H3-(H3*J3))</f>
        <v>96.527124999999998</v>
      </c>
      <c r="L3" s="5">
        <f>(((K3/4)*1.5))</f>
        <v>36.197671874999997</v>
      </c>
      <c r="M3" s="17"/>
      <c r="N3" s="54"/>
      <c r="O3" s="55"/>
      <c r="P3" s="56"/>
      <c r="Q3" s="57"/>
      <c r="R3" s="56"/>
      <c r="S3" s="56"/>
    </row>
    <row r="4" spans="1:19" hidden="1" x14ac:dyDescent="0.35">
      <c r="A4" s="3" t="s">
        <v>6</v>
      </c>
      <c r="B4" s="3">
        <v>250</v>
      </c>
      <c r="C4" s="3" t="s">
        <v>109</v>
      </c>
      <c r="D4" s="3" t="s">
        <v>48</v>
      </c>
      <c r="E4" s="1">
        <v>101.75</v>
      </c>
      <c r="F4" s="1"/>
      <c r="G4" s="4"/>
      <c r="H4" s="5">
        <f t="shared" ref="H4:H25" si="0">E4*0.97</f>
        <v>98.697499999999991</v>
      </c>
      <c r="I4" s="4">
        <f t="shared" ref="I4:I67" si="1">(E4-H4)/E4</f>
        <v>3.0000000000000089E-2</v>
      </c>
      <c r="J4" s="4">
        <v>0.05</v>
      </c>
      <c r="K4" s="5">
        <f>(H4-(H4*J4))</f>
        <v>93.762624999999986</v>
      </c>
      <c r="L4" s="5">
        <f t="shared" ref="L4:L8" si="2">(((K4/4)*1.5))</f>
        <v>35.160984374999998</v>
      </c>
      <c r="M4" s="17"/>
      <c r="N4" s="54"/>
      <c r="O4" s="55"/>
      <c r="P4" s="56"/>
      <c r="Q4" s="57"/>
      <c r="R4" s="56"/>
      <c r="S4" s="56"/>
    </row>
    <row r="5" spans="1:19" hidden="1" x14ac:dyDescent="0.35">
      <c r="A5" s="3" t="s">
        <v>7</v>
      </c>
      <c r="B5" s="3">
        <v>2000</v>
      </c>
      <c r="C5" s="3" t="s">
        <v>109</v>
      </c>
      <c r="D5" s="3" t="s">
        <v>48</v>
      </c>
      <c r="E5" s="1">
        <v>97.5</v>
      </c>
      <c r="F5" s="1"/>
      <c r="G5" s="4"/>
      <c r="H5" s="5">
        <f t="shared" si="0"/>
        <v>94.575000000000003</v>
      </c>
      <c r="I5" s="4">
        <f t="shared" si="1"/>
        <v>2.9999999999999971E-2</v>
      </c>
      <c r="J5" s="4">
        <v>0.05</v>
      </c>
      <c r="K5" s="5">
        <f t="shared" ref="K5:K68" si="3">(H5-H5*J5)</f>
        <v>89.846249999999998</v>
      </c>
      <c r="L5" s="5">
        <f t="shared" si="2"/>
        <v>33.692343749999999</v>
      </c>
      <c r="M5" s="17"/>
      <c r="N5" s="54"/>
      <c r="O5" s="55"/>
      <c r="P5" s="56"/>
      <c r="Q5" s="57"/>
      <c r="R5" s="56"/>
      <c r="S5" s="56"/>
    </row>
    <row r="6" spans="1:19" hidden="1" x14ac:dyDescent="0.35">
      <c r="A6" s="3" t="s">
        <v>8</v>
      </c>
      <c r="B6" s="3">
        <v>180</v>
      </c>
      <c r="C6" s="3" t="s">
        <v>109</v>
      </c>
      <c r="D6" s="3" t="s">
        <v>48</v>
      </c>
      <c r="E6" s="1">
        <v>88.25</v>
      </c>
      <c r="F6" s="1"/>
      <c r="G6" s="4"/>
      <c r="H6" s="5">
        <f t="shared" si="0"/>
        <v>85.602499999999992</v>
      </c>
      <c r="I6" s="4">
        <f t="shared" si="1"/>
        <v>3.0000000000000089E-2</v>
      </c>
      <c r="J6" s="4">
        <v>0.05</v>
      </c>
      <c r="K6" s="5">
        <f t="shared" si="3"/>
        <v>81.322374999999994</v>
      </c>
      <c r="L6" s="5">
        <f t="shared" si="2"/>
        <v>30.495890624999998</v>
      </c>
      <c r="M6" s="17"/>
      <c r="N6" s="54"/>
      <c r="O6" s="55"/>
      <c r="P6" s="56"/>
      <c r="Q6" s="57"/>
      <c r="R6" s="56"/>
      <c r="S6" s="56"/>
    </row>
    <row r="7" spans="1:19" hidden="1" x14ac:dyDescent="0.35">
      <c r="A7" s="3" t="s">
        <v>9</v>
      </c>
      <c r="B7" s="3">
        <v>250</v>
      </c>
      <c r="C7" s="3" t="s">
        <v>109</v>
      </c>
      <c r="D7" s="3" t="s">
        <v>48</v>
      </c>
      <c r="E7" s="1">
        <v>85.25</v>
      </c>
      <c r="F7" s="1"/>
      <c r="G7" s="4"/>
      <c r="H7" s="5">
        <f t="shared" si="0"/>
        <v>82.692499999999995</v>
      </c>
      <c r="I7" s="4">
        <f t="shared" si="1"/>
        <v>3.0000000000000054E-2</v>
      </c>
      <c r="J7" s="4">
        <v>0.05</v>
      </c>
      <c r="K7" s="5">
        <f t="shared" si="3"/>
        <v>78.557874999999996</v>
      </c>
      <c r="L7" s="5">
        <f t="shared" si="2"/>
        <v>29.459203124999998</v>
      </c>
      <c r="M7" s="17"/>
      <c r="N7" s="54"/>
      <c r="O7" s="55"/>
      <c r="P7" s="56"/>
      <c r="Q7" s="57"/>
      <c r="R7" s="56"/>
      <c r="S7" s="56"/>
    </row>
    <row r="8" spans="1:19" hidden="1" x14ac:dyDescent="0.35">
      <c r="A8" s="3" t="s">
        <v>10</v>
      </c>
      <c r="B8" s="3">
        <v>2000</v>
      </c>
      <c r="C8" s="3" t="s">
        <v>109</v>
      </c>
      <c r="D8" s="3" t="s">
        <v>48</v>
      </c>
      <c r="E8" s="1">
        <v>80.75</v>
      </c>
      <c r="F8" s="1"/>
      <c r="G8" s="4"/>
      <c r="H8" s="5">
        <f t="shared" si="0"/>
        <v>78.327500000000001</v>
      </c>
      <c r="I8" s="4">
        <f t="shared" si="1"/>
        <v>2.9999999999999992E-2</v>
      </c>
      <c r="J8" s="4">
        <v>0.05</v>
      </c>
      <c r="K8" s="5">
        <f t="shared" si="3"/>
        <v>74.411124999999998</v>
      </c>
      <c r="L8" s="5">
        <f t="shared" si="2"/>
        <v>27.904171874999999</v>
      </c>
      <c r="M8" s="17"/>
      <c r="N8" s="54"/>
      <c r="O8" s="55"/>
      <c r="P8" s="56"/>
      <c r="Q8" s="57"/>
      <c r="R8" s="56"/>
      <c r="S8" s="56"/>
    </row>
    <row r="9" spans="1:19" hidden="1" x14ac:dyDescent="0.35">
      <c r="A9" s="3" t="s">
        <v>11</v>
      </c>
      <c r="B9" s="3">
        <v>180</v>
      </c>
      <c r="C9" s="3" t="s">
        <v>109</v>
      </c>
      <c r="D9" s="3" t="s">
        <v>48</v>
      </c>
      <c r="E9" s="1">
        <v>145.75</v>
      </c>
      <c r="F9" s="1"/>
      <c r="G9" s="4"/>
      <c r="H9" s="5">
        <f>E9*0.9</f>
        <v>131.17500000000001</v>
      </c>
      <c r="I9" s="4">
        <f t="shared" si="1"/>
        <v>9.9999999999999922E-2</v>
      </c>
      <c r="J9" s="4">
        <v>0.1</v>
      </c>
      <c r="K9" s="5">
        <f t="shared" si="3"/>
        <v>118.0575</v>
      </c>
      <c r="L9" s="5">
        <f>(((K9/4)*2))</f>
        <v>59.028750000000002</v>
      </c>
      <c r="M9" s="17"/>
      <c r="N9" s="54"/>
      <c r="O9" s="55"/>
      <c r="P9" s="56"/>
      <c r="Q9" s="57"/>
      <c r="R9" s="56"/>
      <c r="S9" s="56"/>
    </row>
    <row r="10" spans="1:19" hidden="1" x14ac:dyDescent="0.35">
      <c r="A10" s="3" t="s">
        <v>12</v>
      </c>
      <c r="B10" s="3">
        <v>250</v>
      </c>
      <c r="C10" s="3" t="s">
        <v>109</v>
      </c>
      <c r="D10" s="3" t="s">
        <v>48</v>
      </c>
      <c r="E10" s="1">
        <v>143</v>
      </c>
      <c r="F10" s="1"/>
      <c r="G10" s="4"/>
      <c r="H10" s="5">
        <f t="shared" ref="H10:H11" si="4">E10*0.9</f>
        <v>128.70000000000002</v>
      </c>
      <c r="I10" s="4">
        <f t="shared" si="1"/>
        <v>9.9999999999999881E-2</v>
      </c>
      <c r="J10" s="4">
        <v>0.1</v>
      </c>
      <c r="K10" s="5">
        <f t="shared" si="3"/>
        <v>115.83000000000001</v>
      </c>
      <c r="L10" s="5">
        <f t="shared" ref="L10:L25" si="5">(((K10/4)*2))</f>
        <v>57.915000000000006</v>
      </c>
      <c r="M10" s="17"/>
      <c r="N10" s="54"/>
      <c r="O10" s="55"/>
      <c r="P10" s="56"/>
      <c r="Q10" s="57"/>
      <c r="R10" s="56"/>
      <c r="S10" s="56"/>
    </row>
    <row r="11" spans="1:19" hidden="1" x14ac:dyDescent="0.35">
      <c r="A11" s="3" t="s">
        <v>13</v>
      </c>
      <c r="B11" s="3">
        <v>2000</v>
      </c>
      <c r="C11" s="3" t="s">
        <v>109</v>
      </c>
      <c r="D11" s="3" t="s">
        <v>48</v>
      </c>
      <c r="E11" s="1">
        <v>134</v>
      </c>
      <c r="F11" s="1"/>
      <c r="G11" s="4"/>
      <c r="H11" s="5">
        <f t="shared" si="4"/>
        <v>120.60000000000001</v>
      </c>
      <c r="I11" s="4">
        <f t="shared" si="1"/>
        <v>9.9999999999999936E-2</v>
      </c>
      <c r="J11" s="4">
        <v>0.1</v>
      </c>
      <c r="K11" s="5">
        <f t="shared" si="3"/>
        <v>108.54</v>
      </c>
      <c r="L11" s="5">
        <f t="shared" si="5"/>
        <v>54.27</v>
      </c>
      <c r="M11" s="17"/>
      <c r="N11" s="54"/>
      <c r="O11" s="55"/>
      <c r="P11" s="56"/>
      <c r="Q11" s="57"/>
      <c r="R11" s="56"/>
      <c r="S11" s="56"/>
    </row>
    <row r="12" spans="1:19" hidden="1" x14ac:dyDescent="0.35">
      <c r="A12" s="3" t="s">
        <v>14</v>
      </c>
      <c r="B12" s="3">
        <v>180</v>
      </c>
      <c r="C12" s="3" t="s">
        <v>109</v>
      </c>
      <c r="D12" s="3" t="s">
        <v>48</v>
      </c>
      <c r="E12" s="1">
        <v>117</v>
      </c>
      <c r="F12" s="1"/>
      <c r="G12" s="4"/>
      <c r="H12" s="5">
        <f t="shared" si="0"/>
        <v>113.49</v>
      </c>
      <c r="I12" s="4">
        <f t="shared" si="1"/>
        <v>3.0000000000000044E-2</v>
      </c>
      <c r="J12" s="4">
        <v>0.05</v>
      </c>
      <c r="K12" s="5">
        <f t="shared" si="3"/>
        <v>107.8155</v>
      </c>
      <c r="L12" s="5">
        <f t="shared" si="5"/>
        <v>53.90775</v>
      </c>
      <c r="M12" s="17"/>
      <c r="N12" s="54"/>
      <c r="O12" s="55"/>
      <c r="P12" s="56"/>
      <c r="Q12" s="57"/>
      <c r="R12" s="56"/>
      <c r="S12" s="56"/>
    </row>
    <row r="13" spans="1:19" hidden="1" x14ac:dyDescent="0.35">
      <c r="A13" s="3" t="s">
        <v>15</v>
      </c>
      <c r="B13" s="3">
        <v>250</v>
      </c>
      <c r="C13" s="3" t="s">
        <v>109</v>
      </c>
      <c r="D13" s="3" t="s">
        <v>48</v>
      </c>
      <c r="E13" s="1">
        <v>114</v>
      </c>
      <c r="F13" s="1"/>
      <c r="G13" s="4"/>
      <c r="H13" s="5">
        <f t="shared" si="0"/>
        <v>110.58</v>
      </c>
      <c r="I13" s="4">
        <f t="shared" si="1"/>
        <v>3.0000000000000016E-2</v>
      </c>
      <c r="J13" s="4">
        <v>0.05</v>
      </c>
      <c r="K13" s="5">
        <f t="shared" si="3"/>
        <v>105.051</v>
      </c>
      <c r="L13" s="5">
        <f t="shared" si="5"/>
        <v>52.525500000000001</v>
      </c>
      <c r="M13" s="17"/>
      <c r="N13" s="54"/>
      <c r="O13" s="55"/>
      <c r="P13" s="56"/>
      <c r="Q13" s="57"/>
      <c r="R13" s="56"/>
      <c r="S13" s="56"/>
    </row>
    <row r="14" spans="1:19" hidden="1" x14ac:dyDescent="0.35">
      <c r="A14" s="3" t="s">
        <v>16</v>
      </c>
      <c r="B14" s="3">
        <v>2000</v>
      </c>
      <c r="C14" s="3" t="s">
        <v>109</v>
      </c>
      <c r="D14" s="3" t="s">
        <v>48</v>
      </c>
      <c r="E14" s="1">
        <v>111</v>
      </c>
      <c r="F14" s="1"/>
      <c r="G14" s="4"/>
      <c r="H14" s="5">
        <f t="shared" si="0"/>
        <v>107.67</v>
      </c>
      <c r="I14" s="4">
        <f t="shared" si="1"/>
        <v>2.9999999999999985E-2</v>
      </c>
      <c r="J14" s="4">
        <v>0.05</v>
      </c>
      <c r="K14" s="5">
        <f t="shared" si="3"/>
        <v>102.2865</v>
      </c>
      <c r="L14" s="5">
        <f t="shared" si="5"/>
        <v>51.143250000000002</v>
      </c>
      <c r="M14" s="17"/>
      <c r="N14" s="54"/>
      <c r="O14" s="55"/>
      <c r="P14" s="56"/>
      <c r="Q14" s="57"/>
      <c r="R14" s="56"/>
      <c r="S14" s="56"/>
    </row>
    <row r="15" spans="1:19" hidden="1" x14ac:dyDescent="0.35">
      <c r="A15" s="3" t="s">
        <v>17</v>
      </c>
      <c r="B15" s="3">
        <v>180</v>
      </c>
      <c r="C15" s="3" t="s">
        <v>109</v>
      </c>
      <c r="D15" s="3" t="s">
        <v>48</v>
      </c>
      <c r="E15" s="1">
        <v>62.75</v>
      </c>
      <c r="F15" s="1"/>
      <c r="G15" s="4"/>
      <c r="H15" s="5">
        <f t="shared" si="0"/>
        <v>60.8675</v>
      </c>
      <c r="I15" s="4">
        <f t="shared" si="1"/>
        <v>3.0000000000000006E-2</v>
      </c>
      <c r="J15" s="4">
        <v>0.05</v>
      </c>
      <c r="K15" s="5">
        <f t="shared" si="3"/>
        <v>57.824125000000002</v>
      </c>
      <c r="L15" s="5">
        <f t="shared" si="5"/>
        <v>28.912062500000001</v>
      </c>
      <c r="M15" s="17"/>
      <c r="N15" s="54"/>
      <c r="O15" s="55"/>
      <c r="P15" s="56"/>
      <c r="Q15" s="57"/>
      <c r="R15" s="56"/>
      <c r="S15" s="56"/>
    </row>
    <row r="16" spans="1:19" hidden="1" x14ac:dyDescent="0.35">
      <c r="A16" s="3" t="s">
        <v>18</v>
      </c>
      <c r="B16" s="3">
        <v>250</v>
      </c>
      <c r="C16" s="3" t="s">
        <v>109</v>
      </c>
      <c r="D16" s="3" t="s">
        <v>48</v>
      </c>
      <c r="E16" s="1">
        <v>59.75</v>
      </c>
      <c r="F16" s="1"/>
      <c r="G16" s="4"/>
      <c r="H16" s="5">
        <f t="shared" si="0"/>
        <v>57.957499999999996</v>
      </c>
      <c r="I16" s="4">
        <f t="shared" si="1"/>
        <v>3.0000000000000068E-2</v>
      </c>
      <c r="J16" s="4">
        <v>0.05</v>
      </c>
      <c r="K16" s="5">
        <f t="shared" si="3"/>
        <v>55.059624999999997</v>
      </c>
      <c r="L16" s="5">
        <f t="shared" si="5"/>
        <v>27.529812499999998</v>
      </c>
      <c r="M16" s="17"/>
      <c r="N16" s="54"/>
      <c r="O16" s="55"/>
      <c r="P16" s="56"/>
      <c r="Q16" s="57"/>
      <c r="R16" s="56"/>
      <c r="S16" s="56"/>
    </row>
    <row r="17" spans="1:19" hidden="1" x14ac:dyDescent="0.35">
      <c r="A17" s="3" t="s">
        <v>19</v>
      </c>
      <c r="B17" s="3">
        <v>2000</v>
      </c>
      <c r="C17" s="3" t="s">
        <v>109</v>
      </c>
      <c r="D17" s="3" t="s">
        <v>48</v>
      </c>
      <c r="E17" s="1">
        <v>54.75</v>
      </c>
      <c r="F17" s="1"/>
      <c r="G17" s="4"/>
      <c r="H17" s="5">
        <f t="shared" si="0"/>
        <v>53.107500000000002</v>
      </c>
      <c r="I17" s="4">
        <f t="shared" si="1"/>
        <v>2.9999999999999968E-2</v>
      </c>
      <c r="J17" s="4">
        <v>0.05</v>
      </c>
      <c r="K17" s="5">
        <f t="shared" si="3"/>
        <v>50.452125000000002</v>
      </c>
      <c r="L17" s="5">
        <f t="shared" si="5"/>
        <v>25.226062500000001</v>
      </c>
      <c r="M17" s="17"/>
      <c r="N17" s="54"/>
      <c r="O17" s="55"/>
      <c r="P17" s="56"/>
      <c r="Q17" s="57"/>
      <c r="R17" s="56"/>
      <c r="S17" s="56"/>
    </row>
    <row r="18" spans="1:19" hidden="1" x14ac:dyDescent="0.35">
      <c r="A18" s="3" t="s">
        <v>20</v>
      </c>
      <c r="B18" s="3">
        <v>180</v>
      </c>
      <c r="C18" s="3" t="s">
        <v>109</v>
      </c>
      <c r="D18" s="3" t="s">
        <v>48</v>
      </c>
      <c r="E18" s="1">
        <v>79.75</v>
      </c>
      <c r="F18" s="1"/>
      <c r="G18" s="4"/>
      <c r="H18" s="5">
        <f t="shared" si="0"/>
        <v>77.357500000000002</v>
      </c>
      <c r="I18" s="4">
        <f t="shared" si="1"/>
        <v>2.9999999999999978E-2</v>
      </c>
      <c r="J18" s="4">
        <v>0.05</v>
      </c>
      <c r="K18" s="5">
        <f t="shared" si="3"/>
        <v>73.489625000000004</v>
      </c>
      <c r="L18" s="5">
        <f t="shared" si="5"/>
        <v>36.744812500000002</v>
      </c>
      <c r="M18" s="17"/>
      <c r="N18" s="54"/>
      <c r="O18" s="55"/>
      <c r="P18" s="56"/>
      <c r="Q18" s="57"/>
      <c r="R18" s="56"/>
      <c r="S18" s="56"/>
    </row>
    <row r="19" spans="1:19" hidden="1" x14ac:dyDescent="0.35">
      <c r="A19" s="3" t="s">
        <v>21</v>
      </c>
      <c r="B19" s="3">
        <v>250</v>
      </c>
      <c r="C19" s="3" t="s">
        <v>109</v>
      </c>
      <c r="D19" s="3" t="s">
        <v>48</v>
      </c>
      <c r="E19" s="1">
        <v>76.75</v>
      </c>
      <c r="F19" s="1"/>
      <c r="G19" s="4"/>
      <c r="H19" s="5">
        <f t="shared" si="0"/>
        <v>74.447499999999991</v>
      </c>
      <c r="I19" s="4">
        <f t="shared" si="1"/>
        <v>3.0000000000000117E-2</v>
      </c>
      <c r="J19" s="4">
        <v>0.05</v>
      </c>
      <c r="K19" s="5">
        <f t="shared" si="3"/>
        <v>70.725124999999991</v>
      </c>
      <c r="L19" s="5">
        <f t="shared" si="5"/>
        <v>35.362562499999996</v>
      </c>
      <c r="M19" s="17"/>
      <c r="N19" s="54"/>
      <c r="O19" s="55"/>
      <c r="P19" s="56"/>
      <c r="Q19" s="57"/>
      <c r="R19" s="56"/>
      <c r="S19" s="56"/>
    </row>
    <row r="20" spans="1:19" hidden="1" x14ac:dyDescent="0.35">
      <c r="A20" s="3" t="s">
        <v>22</v>
      </c>
      <c r="B20" s="3">
        <v>2000</v>
      </c>
      <c r="C20" s="3" t="s">
        <v>109</v>
      </c>
      <c r="D20" s="3" t="s">
        <v>48</v>
      </c>
      <c r="E20" s="1">
        <v>71.75</v>
      </c>
      <c r="F20" s="1"/>
      <c r="G20" s="4"/>
      <c r="H20" s="5">
        <f t="shared" si="0"/>
        <v>69.597499999999997</v>
      </c>
      <c r="I20" s="4">
        <f t="shared" si="1"/>
        <v>3.0000000000000047E-2</v>
      </c>
      <c r="J20" s="4">
        <v>0.05</v>
      </c>
      <c r="K20" s="5">
        <f t="shared" si="3"/>
        <v>66.117625000000004</v>
      </c>
      <c r="L20" s="5">
        <f t="shared" si="5"/>
        <v>33.058812500000002</v>
      </c>
      <c r="M20" s="17"/>
      <c r="N20" s="54"/>
      <c r="O20" s="55"/>
      <c r="P20" s="56"/>
      <c r="Q20" s="57"/>
      <c r="R20" s="56"/>
      <c r="S20" s="56"/>
    </row>
    <row r="21" spans="1:19" hidden="1" x14ac:dyDescent="0.35">
      <c r="A21" s="3" t="s">
        <v>23</v>
      </c>
      <c r="B21" s="3">
        <v>180</v>
      </c>
      <c r="C21" s="3" t="s">
        <v>109</v>
      </c>
      <c r="D21" s="3" t="s">
        <v>48</v>
      </c>
      <c r="E21" s="1">
        <v>44.75</v>
      </c>
      <c r="F21" s="1"/>
      <c r="G21" s="4"/>
      <c r="H21" s="5">
        <f t="shared" si="0"/>
        <v>43.407499999999999</v>
      </c>
      <c r="I21" s="4">
        <f t="shared" si="1"/>
        <v>3.0000000000000027E-2</v>
      </c>
      <c r="J21" s="4">
        <v>0.05</v>
      </c>
      <c r="K21" s="5">
        <f t="shared" si="3"/>
        <v>41.237124999999999</v>
      </c>
      <c r="L21" s="5">
        <f t="shared" si="5"/>
        <v>20.618562499999999</v>
      </c>
      <c r="M21" s="17"/>
      <c r="N21" s="54"/>
      <c r="O21" s="55"/>
      <c r="P21" s="56"/>
      <c r="Q21" s="57"/>
      <c r="R21" s="56"/>
      <c r="S21" s="56"/>
    </row>
    <row r="22" spans="1:19" hidden="1" x14ac:dyDescent="0.35">
      <c r="A22" s="3" t="s">
        <v>24</v>
      </c>
      <c r="B22" s="3">
        <v>250</v>
      </c>
      <c r="C22" s="3" t="s">
        <v>109</v>
      </c>
      <c r="D22" s="3" t="s">
        <v>48</v>
      </c>
      <c r="E22" s="1">
        <v>41.5</v>
      </c>
      <c r="F22" s="1"/>
      <c r="G22" s="4"/>
      <c r="H22" s="5">
        <f t="shared" si="0"/>
        <v>40.254999999999995</v>
      </c>
      <c r="I22" s="4">
        <f t="shared" si="1"/>
        <v>3.000000000000011E-2</v>
      </c>
      <c r="J22" s="4">
        <v>0.05</v>
      </c>
      <c r="K22" s="5">
        <f t="shared" si="3"/>
        <v>38.242249999999999</v>
      </c>
      <c r="L22" s="5">
        <f t="shared" si="5"/>
        <v>19.121124999999999</v>
      </c>
      <c r="M22" s="17"/>
      <c r="N22" s="54"/>
      <c r="O22" s="55"/>
      <c r="P22" s="56"/>
      <c r="Q22" s="57"/>
      <c r="R22" s="56"/>
      <c r="S22" s="56"/>
    </row>
    <row r="23" spans="1:19" hidden="1" x14ac:dyDescent="0.35">
      <c r="A23" s="3" t="s">
        <v>25</v>
      </c>
      <c r="B23" s="3">
        <v>2000</v>
      </c>
      <c r="C23" s="3" t="s">
        <v>109</v>
      </c>
      <c r="D23" s="3" t="s">
        <v>48</v>
      </c>
      <c r="E23" s="1">
        <v>39.75</v>
      </c>
      <c r="F23" s="1"/>
      <c r="G23" s="4"/>
      <c r="H23" s="5">
        <f t="shared" si="0"/>
        <v>38.557499999999997</v>
      </c>
      <c r="I23" s="4">
        <f t="shared" si="1"/>
        <v>3.0000000000000065E-2</v>
      </c>
      <c r="J23" s="4">
        <v>0.05</v>
      </c>
      <c r="K23" s="5">
        <f t="shared" si="3"/>
        <v>36.629624999999997</v>
      </c>
      <c r="L23" s="5">
        <f t="shared" si="5"/>
        <v>18.314812499999999</v>
      </c>
      <c r="M23" s="17"/>
      <c r="N23" s="54"/>
      <c r="O23" s="55"/>
      <c r="P23" s="56"/>
      <c r="Q23" s="57"/>
      <c r="R23" s="56"/>
      <c r="S23" s="56"/>
    </row>
    <row r="24" spans="1:19" hidden="1" x14ac:dyDescent="0.35">
      <c r="A24" s="3" t="s">
        <v>26</v>
      </c>
      <c r="B24" s="3">
        <v>250</v>
      </c>
      <c r="C24" s="3" t="s">
        <v>109</v>
      </c>
      <c r="D24" s="3" t="s">
        <v>48</v>
      </c>
      <c r="E24" s="1">
        <v>61.25</v>
      </c>
      <c r="F24" s="1"/>
      <c r="G24" s="4"/>
      <c r="H24" s="5">
        <f t="shared" si="0"/>
        <v>59.412500000000001</v>
      </c>
      <c r="I24" s="4">
        <f t="shared" si="1"/>
        <v>2.9999999999999978E-2</v>
      </c>
      <c r="J24" s="4">
        <v>0.05</v>
      </c>
      <c r="K24" s="5">
        <f t="shared" si="3"/>
        <v>56.441875000000003</v>
      </c>
      <c r="L24" s="5">
        <f t="shared" si="5"/>
        <v>28.220937500000002</v>
      </c>
      <c r="M24" s="17"/>
      <c r="N24" s="54"/>
      <c r="O24" s="55"/>
      <c r="P24" s="56"/>
      <c r="Q24" s="57"/>
      <c r="R24" s="56"/>
      <c r="S24" s="56"/>
    </row>
    <row r="25" spans="1:19" hidden="1" x14ac:dyDescent="0.35">
      <c r="A25" s="3" t="s">
        <v>27</v>
      </c>
      <c r="B25" s="3">
        <v>2000</v>
      </c>
      <c r="C25" s="3" t="s">
        <v>109</v>
      </c>
      <c r="D25" s="3" t="s">
        <v>48</v>
      </c>
      <c r="E25" s="1">
        <v>58.75</v>
      </c>
      <c r="F25" s="1"/>
      <c r="G25" s="4"/>
      <c r="H25" s="5">
        <f t="shared" si="0"/>
        <v>56.987499999999997</v>
      </c>
      <c r="I25" s="4">
        <f t="shared" si="1"/>
        <v>3.0000000000000047E-2</v>
      </c>
      <c r="J25" s="4">
        <v>0.05</v>
      </c>
      <c r="K25" s="5">
        <f t="shared" si="3"/>
        <v>54.138124999999995</v>
      </c>
      <c r="L25" s="5">
        <f t="shared" si="5"/>
        <v>27.069062499999998</v>
      </c>
      <c r="M25" s="17"/>
      <c r="N25" s="54"/>
      <c r="O25" s="55"/>
      <c r="P25" s="56"/>
      <c r="Q25" s="57"/>
      <c r="R25" s="56"/>
      <c r="S25" s="56"/>
    </row>
    <row r="26" spans="1:19" hidden="1" x14ac:dyDescent="0.35">
      <c r="A26" s="3" t="s">
        <v>28</v>
      </c>
      <c r="B26" s="3">
        <v>180</v>
      </c>
      <c r="C26" s="3" t="s">
        <v>109</v>
      </c>
      <c r="D26" s="3" t="s">
        <v>48</v>
      </c>
      <c r="E26" s="1">
        <v>184</v>
      </c>
      <c r="F26" s="1"/>
      <c r="G26" s="4"/>
      <c r="H26" s="5">
        <f>E26*0.7</f>
        <v>128.79999999999998</v>
      </c>
      <c r="I26" s="4">
        <f t="shared" si="1"/>
        <v>0.3000000000000001</v>
      </c>
      <c r="J26" s="4">
        <v>0.1</v>
      </c>
      <c r="K26" s="5">
        <f t="shared" si="3"/>
        <v>115.91999999999999</v>
      </c>
      <c r="L26" s="5">
        <f>(((K26/4)*1.5))</f>
        <v>43.47</v>
      </c>
      <c r="M26" s="17"/>
      <c r="N26" s="54"/>
      <c r="O26" s="55"/>
      <c r="P26" s="56"/>
      <c r="Q26" s="57"/>
      <c r="R26" s="56"/>
      <c r="S26" s="56"/>
    </row>
    <row r="27" spans="1:19" hidden="1" x14ac:dyDescent="0.35">
      <c r="A27" s="3" t="s">
        <v>29</v>
      </c>
      <c r="B27" s="3">
        <v>250</v>
      </c>
      <c r="C27" s="3" t="s">
        <v>109</v>
      </c>
      <c r="D27" s="3" t="s">
        <v>48</v>
      </c>
      <c r="E27" s="1">
        <v>181.25</v>
      </c>
      <c r="F27" s="1"/>
      <c r="G27" s="4"/>
      <c r="H27" s="5">
        <f t="shared" ref="H27:H43" si="6">E27*0.7</f>
        <v>126.87499999999999</v>
      </c>
      <c r="I27" s="4">
        <f t="shared" si="1"/>
        <v>0.3000000000000001</v>
      </c>
      <c r="J27" s="4">
        <v>0.1</v>
      </c>
      <c r="K27" s="5">
        <f t="shared" si="3"/>
        <v>114.18749999999999</v>
      </c>
      <c r="L27" s="5">
        <f>(((K27/4)*1.5))</f>
        <v>42.820312499999993</v>
      </c>
      <c r="M27" s="17"/>
      <c r="N27" s="54"/>
      <c r="O27" s="55"/>
      <c r="P27" s="56"/>
      <c r="Q27" s="57"/>
      <c r="R27" s="56"/>
      <c r="S27" s="56"/>
    </row>
    <row r="28" spans="1:19" hidden="1" x14ac:dyDescent="0.35">
      <c r="A28" s="3" t="s">
        <v>30</v>
      </c>
      <c r="B28" s="3">
        <v>2000</v>
      </c>
      <c r="C28" s="3" t="s">
        <v>109</v>
      </c>
      <c r="D28" s="3" t="s">
        <v>48</v>
      </c>
      <c r="E28" s="1">
        <v>172.75</v>
      </c>
      <c r="F28" s="1"/>
      <c r="G28" s="4"/>
      <c r="H28" s="5">
        <f t="shared" si="6"/>
        <v>120.925</v>
      </c>
      <c r="I28" s="4">
        <f t="shared" si="1"/>
        <v>0.3</v>
      </c>
      <c r="J28" s="4">
        <v>0.1</v>
      </c>
      <c r="K28" s="5">
        <f t="shared" si="3"/>
        <v>108.8325</v>
      </c>
      <c r="L28" s="5">
        <f t="shared" ref="L28:L43" si="7">(((K28/4)*1.5))</f>
        <v>40.8121875</v>
      </c>
      <c r="M28" s="17"/>
      <c r="N28" s="54"/>
      <c r="O28" s="55"/>
      <c r="P28" s="56"/>
      <c r="Q28" s="57"/>
      <c r="R28" s="56"/>
      <c r="S28" s="56"/>
    </row>
    <row r="29" spans="1:19" hidden="1" x14ac:dyDescent="0.35">
      <c r="A29" s="3" t="s">
        <v>31</v>
      </c>
      <c r="B29" s="3">
        <v>180</v>
      </c>
      <c r="C29" s="3" t="s">
        <v>109</v>
      </c>
      <c r="D29" s="3" t="s">
        <v>48</v>
      </c>
      <c r="E29" s="1">
        <v>184</v>
      </c>
      <c r="F29" s="1"/>
      <c r="G29" s="4"/>
      <c r="H29" s="5">
        <f t="shared" si="6"/>
        <v>128.79999999999998</v>
      </c>
      <c r="I29" s="4">
        <f t="shared" si="1"/>
        <v>0.3000000000000001</v>
      </c>
      <c r="J29" s="4">
        <v>0.1</v>
      </c>
      <c r="K29" s="5">
        <f t="shared" si="3"/>
        <v>115.91999999999999</v>
      </c>
      <c r="L29" s="5">
        <f t="shared" si="7"/>
        <v>43.47</v>
      </c>
      <c r="M29" s="17"/>
      <c r="N29" s="54"/>
      <c r="O29" s="55"/>
      <c r="P29" s="56"/>
      <c r="Q29" s="57"/>
      <c r="R29" s="56"/>
      <c r="S29" s="56"/>
    </row>
    <row r="30" spans="1:19" hidden="1" x14ac:dyDescent="0.35">
      <c r="A30" s="3" t="s">
        <v>32</v>
      </c>
      <c r="B30" s="3">
        <v>250</v>
      </c>
      <c r="C30" s="3" t="s">
        <v>109</v>
      </c>
      <c r="D30" s="3" t="s">
        <v>48</v>
      </c>
      <c r="E30" s="1">
        <v>181.25</v>
      </c>
      <c r="F30" s="1"/>
      <c r="G30" s="4"/>
      <c r="H30" s="5">
        <f t="shared" si="6"/>
        <v>126.87499999999999</v>
      </c>
      <c r="I30" s="4">
        <f t="shared" si="1"/>
        <v>0.3000000000000001</v>
      </c>
      <c r="J30" s="4">
        <v>0.1</v>
      </c>
      <c r="K30" s="5">
        <f t="shared" si="3"/>
        <v>114.18749999999999</v>
      </c>
      <c r="L30" s="5">
        <f t="shared" si="7"/>
        <v>42.820312499999993</v>
      </c>
      <c r="M30" s="17"/>
      <c r="N30" s="54"/>
      <c r="O30" s="55"/>
      <c r="P30" s="56"/>
      <c r="Q30" s="57"/>
      <c r="R30" s="56"/>
      <c r="S30" s="56"/>
    </row>
    <row r="31" spans="1:19" hidden="1" x14ac:dyDescent="0.35">
      <c r="A31" s="3" t="s">
        <v>33</v>
      </c>
      <c r="B31" s="3">
        <v>2000</v>
      </c>
      <c r="C31" s="3" t="s">
        <v>109</v>
      </c>
      <c r="D31" s="3" t="s">
        <v>48</v>
      </c>
      <c r="E31" s="1">
        <v>172.75</v>
      </c>
      <c r="F31" s="1"/>
      <c r="G31" s="4"/>
      <c r="H31" s="5">
        <f t="shared" si="6"/>
        <v>120.925</v>
      </c>
      <c r="I31" s="4">
        <f t="shared" si="1"/>
        <v>0.3</v>
      </c>
      <c r="J31" s="4">
        <v>0.1</v>
      </c>
      <c r="K31" s="5">
        <f t="shared" si="3"/>
        <v>108.8325</v>
      </c>
      <c r="L31" s="5">
        <f t="shared" si="7"/>
        <v>40.8121875</v>
      </c>
      <c r="M31" s="17"/>
      <c r="N31" s="54"/>
      <c r="O31" s="55"/>
      <c r="P31" s="56"/>
      <c r="Q31" s="57"/>
      <c r="R31" s="56"/>
      <c r="S31" s="56"/>
    </row>
    <row r="32" spans="1:19" hidden="1" x14ac:dyDescent="0.35">
      <c r="A32" s="3" t="s">
        <v>34</v>
      </c>
      <c r="B32" s="3">
        <v>180</v>
      </c>
      <c r="C32" s="3" t="s">
        <v>109</v>
      </c>
      <c r="D32" s="3" t="s">
        <v>48</v>
      </c>
      <c r="E32" s="1">
        <v>155</v>
      </c>
      <c r="F32" s="1"/>
      <c r="G32" s="4"/>
      <c r="H32" s="5">
        <f t="shared" si="6"/>
        <v>108.5</v>
      </c>
      <c r="I32" s="4">
        <f t="shared" si="1"/>
        <v>0.3</v>
      </c>
      <c r="J32" s="4">
        <v>0.1</v>
      </c>
      <c r="K32" s="5">
        <f t="shared" si="3"/>
        <v>97.65</v>
      </c>
      <c r="L32" s="5">
        <f t="shared" si="7"/>
        <v>36.618750000000006</v>
      </c>
      <c r="M32" s="17"/>
      <c r="N32" s="54"/>
      <c r="O32" s="55"/>
      <c r="P32" s="56"/>
      <c r="Q32" s="57"/>
      <c r="R32" s="56"/>
      <c r="S32" s="56"/>
    </row>
    <row r="33" spans="1:19" hidden="1" x14ac:dyDescent="0.35">
      <c r="A33" s="3" t="s">
        <v>35</v>
      </c>
      <c r="B33" s="3">
        <v>250</v>
      </c>
      <c r="C33" s="3" t="s">
        <v>109</v>
      </c>
      <c r="D33" s="3" t="s">
        <v>48</v>
      </c>
      <c r="E33" s="1">
        <v>152</v>
      </c>
      <c r="F33" s="1"/>
      <c r="G33" s="4"/>
      <c r="H33" s="5">
        <f t="shared" si="6"/>
        <v>106.39999999999999</v>
      </c>
      <c r="I33" s="4">
        <f t="shared" si="1"/>
        <v>0.30000000000000004</v>
      </c>
      <c r="J33" s="4">
        <v>0.1</v>
      </c>
      <c r="K33" s="5">
        <f t="shared" si="3"/>
        <v>95.759999999999991</v>
      </c>
      <c r="L33" s="5">
        <f t="shared" si="7"/>
        <v>35.909999999999997</v>
      </c>
      <c r="M33" s="17"/>
      <c r="N33" s="54"/>
      <c r="O33" s="55"/>
      <c r="P33" s="56"/>
      <c r="Q33" s="57"/>
      <c r="R33" s="56"/>
      <c r="S33" s="56"/>
    </row>
    <row r="34" spans="1:19" hidden="1" x14ac:dyDescent="0.35">
      <c r="A34" s="3" t="s">
        <v>36</v>
      </c>
      <c r="B34" s="3">
        <v>2000</v>
      </c>
      <c r="C34" s="3" t="s">
        <v>109</v>
      </c>
      <c r="D34" s="3" t="s">
        <v>48</v>
      </c>
      <c r="E34" s="1">
        <v>143.5</v>
      </c>
      <c r="F34" s="1"/>
      <c r="G34" s="4"/>
      <c r="H34" s="5">
        <f t="shared" si="6"/>
        <v>100.44999999999999</v>
      </c>
      <c r="I34" s="4">
        <f t="shared" si="1"/>
        <v>0.3000000000000001</v>
      </c>
      <c r="J34" s="4">
        <v>0.1</v>
      </c>
      <c r="K34" s="5">
        <f t="shared" si="3"/>
        <v>90.404999999999987</v>
      </c>
      <c r="L34" s="5">
        <f t="shared" si="7"/>
        <v>33.901874999999997</v>
      </c>
      <c r="M34" s="17"/>
      <c r="N34" s="54"/>
      <c r="O34" s="55"/>
      <c r="P34" s="56"/>
      <c r="Q34" s="57"/>
      <c r="R34" s="56"/>
      <c r="S34" s="56"/>
    </row>
    <row r="35" spans="1:19" hidden="1" x14ac:dyDescent="0.35">
      <c r="A35" s="3" t="s">
        <v>37</v>
      </c>
      <c r="B35" s="3">
        <v>180</v>
      </c>
      <c r="C35" s="3" t="s">
        <v>109</v>
      </c>
      <c r="D35" s="3" t="s">
        <v>48</v>
      </c>
      <c r="E35" s="1">
        <v>155</v>
      </c>
      <c r="F35" s="1"/>
      <c r="G35" s="4"/>
      <c r="H35" s="5">
        <f t="shared" si="6"/>
        <v>108.5</v>
      </c>
      <c r="I35" s="4">
        <f t="shared" si="1"/>
        <v>0.3</v>
      </c>
      <c r="J35" s="4">
        <v>0.1</v>
      </c>
      <c r="K35" s="5">
        <f t="shared" si="3"/>
        <v>97.65</v>
      </c>
      <c r="L35" s="5">
        <f t="shared" si="7"/>
        <v>36.618750000000006</v>
      </c>
      <c r="M35" s="17"/>
      <c r="N35" s="54"/>
      <c r="O35" s="55"/>
      <c r="P35" s="56"/>
      <c r="Q35" s="57"/>
      <c r="R35" s="56"/>
      <c r="S35" s="56"/>
    </row>
    <row r="36" spans="1:19" hidden="1" x14ac:dyDescent="0.35">
      <c r="A36" s="3" t="s">
        <v>38</v>
      </c>
      <c r="B36" s="3">
        <v>250</v>
      </c>
      <c r="C36" s="3" t="s">
        <v>109</v>
      </c>
      <c r="D36" s="3" t="s">
        <v>48</v>
      </c>
      <c r="E36" s="1">
        <v>152</v>
      </c>
      <c r="F36" s="1"/>
      <c r="G36" s="4"/>
      <c r="H36" s="5">
        <f t="shared" si="6"/>
        <v>106.39999999999999</v>
      </c>
      <c r="I36" s="4">
        <f t="shared" si="1"/>
        <v>0.30000000000000004</v>
      </c>
      <c r="J36" s="4">
        <v>0.1</v>
      </c>
      <c r="K36" s="5">
        <f t="shared" si="3"/>
        <v>95.759999999999991</v>
      </c>
      <c r="L36" s="5">
        <f t="shared" si="7"/>
        <v>35.909999999999997</v>
      </c>
      <c r="M36" s="17"/>
      <c r="N36" s="54"/>
      <c r="O36" s="55"/>
      <c r="P36" s="56"/>
      <c r="Q36" s="57"/>
      <c r="R36" s="56"/>
      <c r="S36" s="56"/>
    </row>
    <row r="37" spans="1:19" hidden="1" x14ac:dyDescent="0.35">
      <c r="A37" s="3" t="s">
        <v>39</v>
      </c>
      <c r="B37" s="3">
        <v>2000</v>
      </c>
      <c r="C37" s="3" t="s">
        <v>109</v>
      </c>
      <c r="D37" s="3" t="s">
        <v>48</v>
      </c>
      <c r="E37" s="1">
        <v>143.5</v>
      </c>
      <c r="F37" s="1"/>
      <c r="G37" s="4"/>
      <c r="H37" s="5">
        <f t="shared" si="6"/>
        <v>100.44999999999999</v>
      </c>
      <c r="I37" s="4">
        <f t="shared" si="1"/>
        <v>0.3000000000000001</v>
      </c>
      <c r="J37" s="4">
        <v>0.1</v>
      </c>
      <c r="K37" s="5">
        <f t="shared" si="3"/>
        <v>90.404999999999987</v>
      </c>
      <c r="L37" s="5">
        <f t="shared" si="7"/>
        <v>33.901874999999997</v>
      </c>
      <c r="M37" s="17"/>
      <c r="N37" s="54"/>
      <c r="O37" s="55"/>
      <c r="P37" s="56"/>
      <c r="Q37" s="57"/>
      <c r="R37" s="56"/>
      <c r="S37" s="56"/>
    </row>
    <row r="38" spans="1:19" hidden="1" x14ac:dyDescent="0.35">
      <c r="A38" s="3" t="s">
        <v>40</v>
      </c>
      <c r="B38" s="3">
        <v>180</v>
      </c>
      <c r="C38" s="3" t="s">
        <v>109</v>
      </c>
      <c r="D38" s="3" t="s">
        <v>48</v>
      </c>
      <c r="E38" s="1">
        <v>190</v>
      </c>
      <c r="F38" s="1"/>
      <c r="G38" s="4"/>
      <c r="H38" s="5">
        <f t="shared" si="6"/>
        <v>133</v>
      </c>
      <c r="I38" s="4">
        <f t="shared" si="1"/>
        <v>0.3</v>
      </c>
      <c r="J38" s="4">
        <v>0.1</v>
      </c>
      <c r="K38" s="5">
        <f t="shared" si="3"/>
        <v>119.7</v>
      </c>
      <c r="L38" s="5">
        <f t="shared" si="7"/>
        <v>44.887500000000003</v>
      </c>
      <c r="M38" s="17"/>
      <c r="N38" s="54"/>
      <c r="O38" s="55"/>
      <c r="P38" s="56"/>
      <c r="Q38" s="57"/>
      <c r="R38" s="56"/>
      <c r="S38" s="56"/>
    </row>
    <row r="39" spans="1:19" hidden="1" x14ac:dyDescent="0.35">
      <c r="A39" s="3" t="s">
        <v>41</v>
      </c>
      <c r="B39" s="3">
        <v>250</v>
      </c>
      <c r="C39" s="3" t="s">
        <v>109</v>
      </c>
      <c r="D39" s="3" t="s">
        <v>48</v>
      </c>
      <c r="E39" s="1">
        <v>187.5</v>
      </c>
      <c r="F39" s="1"/>
      <c r="G39" s="4"/>
      <c r="H39" s="5">
        <f t="shared" si="6"/>
        <v>131.25</v>
      </c>
      <c r="I39" s="4">
        <f t="shared" si="1"/>
        <v>0.3</v>
      </c>
      <c r="J39" s="4">
        <v>0.1</v>
      </c>
      <c r="K39" s="5">
        <f t="shared" si="3"/>
        <v>118.125</v>
      </c>
      <c r="L39" s="5">
        <f t="shared" si="7"/>
        <v>44.296875</v>
      </c>
      <c r="M39" s="17"/>
      <c r="N39" s="54"/>
      <c r="O39" s="55"/>
      <c r="P39" s="56"/>
      <c r="Q39" s="57"/>
      <c r="R39" s="56"/>
      <c r="S39" s="56"/>
    </row>
    <row r="40" spans="1:19" hidden="1" x14ac:dyDescent="0.35">
      <c r="A40" s="3" t="s">
        <v>42</v>
      </c>
      <c r="B40" s="3">
        <v>2000</v>
      </c>
      <c r="C40" s="3" t="s">
        <v>109</v>
      </c>
      <c r="D40" s="3" t="s">
        <v>48</v>
      </c>
      <c r="E40" s="1">
        <v>179.5</v>
      </c>
      <c r="F40" s="1"/>
      <c r="G40" s="4"/>
      <c r="H40" s="5">
        <f t="shared" si="6"/>
        <v>125.64999999999999</v>
      </c>
      <c r="I40" s="4">
        <f t="shared" si="1"/>
        <v>0.30000000000000004</v>
      </c>
      <c r="J40" s="4">
        <v>0.1</v>
      </c>
      <c r="K40" s="5">
        <f t="shared" si="3"/>
        <v>113.08499999999999</v>
      </c>
      <c r="L40" s="5">
        <f t="shared" si="7"/>
        <v>42.406874999999999</v>
      </c>
      <c r="M40" s="17"/>
      <c r="N40" s="54"/>
      <c r="O40" s="55"/>
      <c r="P40" s="56"/>
      <c r="Q40" s="57"/>
      <c r="R40" s="56"/>
      <c r="S40" s="56"/>
    </row>
    <row r="41" spans="1:19" hidden="1" x14ac:dyDescent="0.35">
      <c r="A41" s="3" t="s">
        <v>43</v>
      </c>
      <c r="B41" s="3">
        <v>180</v>
      </c>
      <c r="C41" s="3" t="s">
        <v>109</v>
      </c>
      <c r="D41" s="3" t="s">
        <v>48</v>
      </c>
      <c r="E41" s="1">
        <v>190</v>
      </c>
      <c r="F41" s="1"/>
      <c r="G41" s="4"/>
      <c r="H41" s="5">
        <f t="shared" si="6"/>
        <v>133</v>
      </c>
      <c r="I41" s="4">
        <f t="shared" si="1"/>
        <v>0.3</v>
      </c>
      <c r="J41" s="4">
        <v>0.1</v>
      </c>
      <c r="K41" s="5">
        <f t="shared" si="3"/>
        <v>119.7</v>
      </c>
      <c r="L41" s="5">
        <f t="shared" si="7"/>
        <v>44.887500000000003</v>
      </c>
      <c r="M41" s="17"/>
      <c r="N41" s="54"/>
      <c r="O41" s="55"/>
      <c r="P41" s="56"/>
      <c r="Q41" s="57"/>
      <c r="R41" s="56"/>
      <c r="S41" s="56"/>
    </row>
    <row r="42" spans="1:19" hidden="1" x14ac:dyDescent="0.35">
      <c r="A42" s="3" t="s">
        <v>44</v>
      </c>
      <c r="B42" s="3">
        <v>250</v>
      </c>
      <c r="C42" s="3" t="s">
        <v>109</v>
      </c>
      <c r="D42" s="3" t="s">
        <v>48</v>
      </c>
      <c r="E42" s="1">
        <v>187.5</v>
      </c>
      <c r="F42" s="1"/>
      <c r="G42" s="4"/>
      <c r="H42" s="5">
        <f t="shared" si="6"/>
        <v>131.25</v>
      </c>
      <c r="I42" s="4">
        <f t="shared" si="1"/>
        <v>0.3</v>
      </c>
      <c r="J42" s="4">
        <v>0.1</v>
      </c>
      <c r="K42" s="5">
        <f t="shared" si="3"/>
        <v>118.125</v>
      </c>
      <c r="L42" s="5">
        <f t="shared" si="7"/>
        <v>44.296875</v>
      </c>
      <c r="M42" s="17"/>
      <c r="N42" s="54"/>
      <c r="O42" s="55"/>
      <c r="P42" s="56"/>
      <c r="Q42" s="57"/>
      <c r="R42" s="56"/>
      <c r="S42" s="56"/>
    </row>
    <row r="43" spans="1:19" hidden="1" x14ac:dyDescent="0.35">
      <c r="A43" s="3" t="s">
        <v>45</v>
      </c>
      <c r="B43" s="3">
        <v>2000</v>
      </c>
      <c r="C43" s="3" t="s">
        <v>109</v>
      </c>
      <c r="D43" s="3" t="s">
        <v>48</v>
      </c>
      <c r="E43" s="1">
        <v>179.5</v>
      </c>
      <c r="F43" s="1"/>
      <c r="G43" s="4"/>
      <c r="H43" s="5">
        <f t="shared" si="6"/>
        <v>125.64999999999999</v>
      </c>
      <c r="I43" s="4">
        <f t="shared" si="1"/>
        <v>0.30000000000000004</v>
      </c>
      <c r="J43" s="4">
        <v>0.1</v>
      </c>
      <c r="K43" s="5">
        <f t="shared" si="3"/>
        <v>113.08499999999999</v>
      </c>
      <c r="L43" s="5">
        <f t="shared" si="7"/>
        <v>42.406874999999999</v>
      </c>
      <c r="M43" s="17"/>
      <c r="N43" s="54"/>
      <c r="O43" s="55"/>
      <c r="P43" s="56"/>
      <c r="Q43" s="57"/>
      <c r="R43" s="56"/>
      <c r="S43" s="56"/>
    </row>
    <row r="44" spans="1:19" hidden="1" x14ac:dyDescent="0.35">
      <c r="A44" s="18" t="s">
        <v>67</v>
      </c>
      <c r="B44" s="3">
        <v>180</v>
      </c>
      <c r="C44" s="3" t="s">
        <v>109</v>
      </c>
      <c r="D44" s="3" t="s">
        <v>49</v>
      </c>
      <c r="E44" s="12">
        <v>76</v>
      </c>
      <c r="H44" s="12">
        <v>76</v>
      </c>
      <c r="I44" s="4">
        <f t="shared" si="1"/>
        <v>0</v>
      </c>
      <c r="J44" s="14">
        <v>0.05</v>
      </c>
      <c r="K44" s="5">
        <f t="shared" si="3"/>
        <v>72.2</v>
      </c>
      <c r="L44" s="2"/>
      <c r="N44" s="58"/>
      <c r="O44" s="58"/>
      <c r="P44" s="56"/>
      <c r="Q44" s="59"/>
      <c r="R44" s="56"/>
      <c r="S44" s="56"/>
    </row>
    <row r="45" spans="1:19" hidden="1" x14ac:dyDescent="0.35">
      <c r="A45" s="18" t="s">
        <v>68</v>
      </c>
      <c r="B45" s="3">
        <v>250</v>
      </c>
      <c r="C45" s="3" t="s">
        <v>109</v>
      </c>
      <c r="D45" s="3" t="s">
        <v>49</v>
      </c>
      <c r="E45" s="12">
        <v>74</v>
      </c>
      <c r="H45" s="12">
        <v>74</v>
      </c>
      <c r="I45" s="4">
        <f t="shared" si="1"/>
        <v>0</v>
      </c>
      <c r="J45" s="14">
        <v>0.05</v>
      </c>
      <c r="K45" s="5">
        <f t="shared" si="3"/>
        <v>70.3</v>
      </c>
      <c r="L45" s="2"/>
      <c r="N45" s="58"/>
      <c r="O45" s="58"/>
      <c r="P45" s="56"/>
      <c r="Q45" s="59"/>
      <c r="R45" s="56"/>
      <c r="S45" s="56"/>
    </row>
    <row r="46" spans="1:19" x14ac:dyDescent="0.35">
      <c r="A46" s="13" t="s">
        <v>69</v>
      </c>
      <c r="B46" s="18">
        <v>22</v>
      </c>
      <c r="C46" s="18" t="s">
        <v>110</v>
      </c>
      <c r="D46" s="18" t="s">
        <v>49</v>
      </c>
      <c r="E46" s="15">
        <v>2227</v>
      </c>
      <c r="H46" s="15">
        <v>2227</v>
      </c>
      <c r="I46" s="4">
        <f t="shared" si="1"/>
        <v>0</v>
      </c>
      <c r="J46" s="14">
        <v>0.1</v>
      </c>
      <c r="K46" s="5">
        <f t="shared" si="3"/>
        <v>2004.3</v>
      </c>
      <c r="L46" s="10">
        <f>(K46/2000)*10</f>
        <v>10.0215</v>
      </c>
      <c r="N46" s="60"/>
      <c r="O46" s="60"/>
      <c r="P46" s="56"/>
      <c r="Q46" s="61"/>
      <c r="R46" s="56"/>
      <c r="S46" s="56"/>
    </row>
    <row r="47" spans="1:19" x14ac:dyDescent="0.35">
      <c r="A47" s="13" t="s">
        <v>70</v>
      </c>
      <c r="B47" s="18">
        <v>22</v>
      </c>
      <c r="C47" s="18" t="s">
        <v>110</v>
      </c>
      <c r="D47" s="18" t="s">
        <v>49</v>
      </c>
      <c r="E47" s="15">
        <v>2244</v>
      </c>
      <c r="H47" s="15">
        <v>2244</v>
      </c>
      <c r="I47" s="4">
        <f t="shared" si="1"/>
        <v>0</v>
      </c>
      <c r="J47" s="14">
        <v>0.1</v>
      </c>
      <c r="K47" s="5">
        <f t="shared" si="3"/>
        <v>2019.6</v>
      </c>
      <c r="L47" s="10">
        <f t="shared" ref="L47:L77" si="8">(K47/2000)*10</f>
        <v>10.098000000000001</v>
      </c>
      <c r="N47" s="60"/>
      <c r="O47" s="60"/>
      <c r="P47" s="56"/>
      <c r="Q47" s="61"/>
      <c r="R47" s="56"/>
      <c r="S47" s="56"/>
    </row>
    <row r="48" spans="1:19" x14ac:dyDescent="0.35">
      <c r="A48" s="13" t="s">
        <v>71</v>
      </c>
      <c r="B48" s="18">
        <v>25</v>
      </c>
      <c r="C48" s="18" t="s">
        <v>110</v>
      </c>
      <c r="D48" s="18" t="s">
        <v>49</v>
      </c>
      <c r="E48" s="15">
        <v>2117</v>
      </c>
      <c r="H48" s="15">
        <v>2117</v>
      </c>
      <c r="I48" s="4">
        <f t="shared" si="1"/>
        <v>0</v>
      </c>
      <c r="J48" s="14">
        <v>0.1</v>
      </c>
      <c r="K48" s="5">
        <f t="shared" si="3"/>
        <v>1905.3</v>
      </c>
      <c r="L48" s="10">
        <f t="shared" si="8"/>
        <v>9.5265000000000004</v>
      </c>
      <c r="N48" s="60"/>
      <c r="O48" s="60"/>
      <c r="P48" s="56"/>
      <c r="Q48" s="61"/>
      <c r="R48" s="56"/>
      <c r="S48" s="56"/>
    </row>
    <row r="49" spans="1:19" x14ac:dyDescent="0.35">
      <c r="A49" s="13" t="s">
        <v>72</v>
      </c>
      <c r="B49" s="18">
        <v>22</v>
      </c>
      <c r="C49" s="18" t="s">
        <v>110</v>
      </c>
      <c r="D49" s="18" t="s">
        <v>49</v>
      </c>
      <c r="E49" s="15">
        <v>2831</v>
      </c>
      <c r="H49" s="15">
        <v>2831</v>
      </c>
      <c r="I49" s="4">
        <f t="shared" si="1"/>
        <v>0</v>
      </c>
      <c r="J49" s="14">
        <v>0.1</v>
      </c>
      <c r="K49" s="5">
        <f t="shared" si="3"/>
        <v>2547.9</v>
      </c>
      <c r="L49" s="10">
        <f t="shared" si="8"/>
        <v>12.739500000000001</v>
      </c>
      <c r="N49" s="60"/>
      <c r="O49" s="60"/>
      <c r="P49" s="56"/>
      <c r="Q49" s="61"/>
      <c r="R49" s="56"/>
      <c r="S49" s="56"/>
    </row>
    <row r="50" spans="1:19" x14ac:dyDescent="0.35">
      <c r="A50" s="13" t="s">
        <v>73</v>
      </c>
      <c r="B50" s="18">
        <v>22</v>
      </c>
      <c r="C50" s="18" t="s">
        <v>110</v>
      </c>
      <c r="D50" s="18" t="s">
        <v>49</v>
      </c>
      <c r="E50" s="15">
        <v>2953</v>
      </c>
      <c r="H50" s="15">
        <v>2953</v>
      </c>
      <c r="I50" s="4">
        <f t="shared" si="1"/>
        <v>0</v>
      </c>
      <c r="J50" s="14">
        <v>0.1</v>
      </c>
      <c r="K50" s="5">
        <f t="shared" si="3"/>
        <v>2657.7</v>
      </c>
      <c r="L50" s="10">
        <f t="shared" si="8"/>
        <v>13.288499999999999</v>
      </c>
      <c r="N50" s="60"/>
      <c r="O50" s="60"/>
      <c r="P50" s="56"/>
      <c r="Q50" s="61"/>
      <c r="R50" s="56"/>
      <c r="S50" s="56"/>
    </row>
    <row r="51" spans="1:19" x14ac:dyDescent="0.35">
      <c r="A51" s="13" t="s">
        <v>74</v>
      </c>
      <c r="B51" s="18">
        <v>25</v>
      </c>
      <c r="C51" s="18" t="s">
        <v>110</v>
      </c>
      <c r="D51" s="18" t="s">
        <v>49</v>
      </c>
      <c r="E51" s="15">
        <v>2815</v>
      </c>
      <c r="H51" s="15">
        <v>2815</v>
      </c>
      <c r="I51" s="4">
        <f t="shared" si="1"/>
        <v>0</v>
      </c>
      <c r="J51" s="14">
        <v>0.1</v>
      </c>
      <c r="K51" s="5">
        <f t="shared" si="3"/>
        <v>2533.5</v>
      </c>
      <c r="L51" s="10">
        <f t="shared" si="8"/>
        <v>12.6675</v>
      </c>
      <c r="N51" s="60"/>
      <c r="O51" s="60"/>
      <c r="P51" s="56"/>
      <c r="Q51" s="61"/>
      <c r="R51" s="56"/>
      <c r="S51" s="56"/>
    </row>
    <row r="52" spans="1:19" x14ac:dyDescent="0.35">
      <c r="A52" s="13" t="s">
        <v>75</v>
      </c>
      <c r="B52" s="18">
        <v>22</v>
      </c>
      <c r="C52" s="18" t="s">
        <v>110</v>
      </c>
      <c r="D52" s="18" t="s">
        <v>49</v>
      </c>
      <c r="E52" s="15">
        <v>2004</v>
      </c>
      <c r="H52" s="15">
        <v>2004</v>
      </c>
      <c r="I52" s="4">
        <f t="shared" si="1"/>
        <v>0</v>
      </c>
      <c r="J52" s="14">
        <v>0.1</v>
      </c>
      <c r="K52" s="5">
        <f t="shared" si="3"/>
        <v>1803.6</v>
      </c>
      <c r="L52" s="10">
        <f t="shared" si="8"/>
        <v>9.0179999999999989</v>
      </c>
      <c r="N52" s="60"/>
      <c r="O52" s="60"/>
      <c r="P52" s="56"/>
      <c r="Q52" s="61"/>
      <c r="R52" s="56"/>
      <c r="S52" s="56"/>
    </row>
    <row r="53" spans="1:19" x14ac:dyDescent="0.35">
      <c r="A53" s="13" t="s">
        <v>76</v>
      </c>
      <c r="B53" s="18">
        <v>22</v>
      </c>
      <c r="C53" s="18" t="s">
        <v>110</v>
      </c>
      <c r="D53" s="18" t="s">
        <v>49</v>
      </c>
      <c r="E53" s="15">
        <v>2222</v>
      </c>
      <c r="H53" s="15">
        <v>2222</v>
      </c>
      <c r="I53" s="4">
        <f t="shared" si="1"/>
        <v>0</v>
      </c>
      <c r="J53" s="14">
        <v>0.1</v>
      </c>
      <c r="K53" s="5">
        <f t="shared" si="3"/>
        <v>1999.8</v>
      </c>
      <c r="L53" s="10">
        <f t="shared" si="8"/>
        <v>9.9990000000000006</v>
      </c>
      <c r="N53" s="60"/>
      <c r="O53" s="60"/>
      <c r="P53" s="56"/>
      <c r="Q53" s="61"/>
      <c r="R53" s="56"/>
      <c r="S53" s="56"/>
    </row>
    <row r="54" spans="1:19" x14ac:dyDescent="0.35">
      <c r="A54" s="13" t="s">
        <v>77</v>
      </c>
      <c r="B54" s="18">
        <v>25</v>
      </c>
      <c r="C54" s="18" t="s">
        <v>110</v>
      </c>
      <c r="D54" s="18" t="s">
        <v>49</v>
      </c>
      <c r="E54" s="15">
        <v>1994</v>
      </c>
      <c r="H54" s="15">
        <v>1994</v>
      </c>
      <c r="I54" s="4">
        <f t="shared" si="1"/>
        <v>0</v>
      </c>
      <c r="J54" s="14">
        <v>0.1</v>
      </c>
      <c r="K54" s="5">
        <f t="shared" si="3"/>
        <v>1794.6</v>
      </c>
      <c r="L54" s="10">
        <f t="shared" si="8"/>
        <v>8.972999999999999</v>
      </c>
      <c r="N54" s="60"/>
      <c r="O54" s="60"/>
      <c r="P54" s="56"/>
      <c r="Q54" s="61"/>
      <c r="R54" s="56"/>
      <c r="S54" s="56"/>
    </row>
    <row r="55" spans="1:19" x14ac:dyDescent="0.35">
      <c r="A55" s="13" t="s">
        <v>78</v>
      </c>
      <c r="B55" s="18">
        <v>22</v>
      </c>
      <c r="C55" s="18" t="s">
        <v>110</v>
      </c>
      <c r="D55" s="18" t="s">
        <v>49</v>
      </c>
      <c r="E55" s="15">
        <v>3500</v>
      </c>
      <c r="H55" s="15">
        <v>3500</v>
      </c>
      <c r="I55" s="4">
        <f t="shared" si="1"/>
        <v>0</v>
      </c>
      <c r="J55" s="14">
        <v>0.1</v>
      </c>
      <c r="K55" s="5">
        <f t="shared" si="3"/>
        <v>3150</v>
      </c>
      <c r="L55" s="10">
        <f t="shared" si="8"/>
        <v>15.75</v>
      </c>
      <c r="N55" s="60"/>
      <c r="O55" s="60"/>
      <c r="P55" s="56"/>
      <c r="Q55" s="61"/>
      <c r="R55" s="56"/>
      <c r="S55" s="56"/>
    </row>
    <row r="56" spans="1:19" x14ac:dyDescent="0.35">
      <c r="A56" s="13" t="s">
        <v>79</v>
      </c>
      <c r="B56" s="18">
        <v>22</v>
      </c>
      <c r="C56" s="18" t="s">
        <v>110</v>
      </c>
      <c r="D56" s="18" t="s">
        <v>49</v>
      </c>
      <c r="E56" s="15">
        <v>3615</v>
      </c>
      <c r="H56" s="15">
        <v>3615</v>
      </c>
      <c r="I56" s="4">
        <f t="shared" si="1"/>
        <v>0</v>
      </c>
      <c r="J56" s="14">
        <v>0.1</v>
      </c>
      <c r="K56" s="5">
        <f t="shared" si="3"/>
        <v>3253.5</v>
      </c>
      <c r="L56" s="10">
        <f t="shared" si="8"/>
        <v>16.267499999999998</v>
      </c>
      <c r="N56" s="60"/>
      <c r="O56" s="60"/>
      <c r="P56" s="56"/>
      <c r="Q56" s="61"/>
      <c r="R56" s="56"/>
      <c r="S56" s="56"/>
    </row>
    <row r="57" spans="1:19" x14ac:dyDescent="0.35">
      <c r="A57" s="13" t="s">
        <v>80</v>
      </c>
      <c r="B57" s="18">
        <v>22</v>
      </c>
      <c r="C57" s="18" t="s">
        <v>110</v>
      </c>
      <c r="D57" s="18" t="s">
        <v>49</v>
      </c>
      <c r="E57" s="15">
        <v>2049</v>
      </c>
      <c r="H57" s="15">
        <v>2049</v>
      </c>
      <c r="I57" s="4">
        <f t="shared" si="1"/>
        <v>0</v>
      </c>
      <c r="J57" s="14">
        <v>0.1</v>
      </c>
      <c r="K57" s="5">
        <f t="shared" si="3"/>
        <v>1844.1</v>
      </c>
      <c r="L57" s="10">
        <f t="shared" si="8"/>
        <v>9.2204999999999995</v>
      </c>
      <c r="N57" s="60"/>
      <c r="O57" s="60"/>
      <c r="P57" s="56"/>
      <c r="Q57" s="61"/>
      <c r="R57" s="56"/>
      <c r="S57" s="56"/>
    </row>
    <row r="58" spans="1:19" x14ac:dyDescent="0.35">
      <c r="A58" s="13" t="s">
        <v>81</v>
      </c>
      <c r="B58" s="18">
        <v>22</v>
      </c>
      <c r="C58" s="18" t="s">
        <v>110</v>
      </c>
      <c r="D58" s="18" t="s">
        <v>49</v>
      </c>
      <c r="E58" s="15">
        <v>2157</v>
      </c>
      <c r="H58" s="15">
        <v>2157</v>
      </c>
      <c r="I58" s="4">
        <f t="shared" si="1"/>
        <v>0</v>
      </c>
      <c r="J58" s="14">
        <v>0.1</v>
      </c>
      <c r="K58" s="5">
        <f t="shared" si="3"/>
        <v>1941.3</v>
      </c>
      <c r="L58" s="10">
        <f t="shared" si="8"/>
        <v>9.7065000000000001</v>
      </c>
      <c r="N58" s="60"/>
      <c r="O58" s="60"/>
      <c r="P58" s="56"/>
      <c r="Q58" s="61"/>
      <c r="R58" s="56"/>
      <c r="S58" s="56"/>
    </row>
    <row r="59" spans="1:19" x14ac:dyDescent="0.35">
      <c r="A59" s="13" t="s">
        <v>82</v>
      </c>
      <c r="B59" s="18">
        <v>25</v>
      </c>
      <c r="C59" s="18" t="s">
        <v>110</v>
      </c>
      <c r="D59" s="18" t="s">
        <v>49</v>
      </c>
      <c r="E59" s="15">
        <v>2040</v>
      </c>
      <c r="H59" s="15">
        <v>2040</v>
      </c>
      <c r="I59" s="4">
        <f t="shared" si="1"/>
        <v>0</v>
      </c>
      <c r="J59" s="14">
        <v>0.1</v>
      </c>
      <c r="K59" s="5">
        <f t="shared" si="3"/>
        <v>1836</v>
      </c>
      <c r="L59" s="10">
        <f t="shared" si="8"/>
        <v>9.18</v>
      </c>
      <c r="N59" s="60"/>
      <c r="O59" s="60"/>
      <c r="P59" s="56"/>
      <c r="Q59" s="61"/>
      <c r="R59" s="56"/>
      <c r="S59" s="56"/>
    </row>
    <row r="60" spans="1:19" x14ac:dyDescent="0.35">
      <c r="A60" s="13" t="s">
        <v>83</v>
      </c>
      <c r="B60" s="18">
        <v>22</v>
      </c>
      <c r="C60" s="18" t="s">
        <v>110</v>
      </c>
      <c r="D60" s="18" t="s">
        <v>49</v>
      </c>
      <c r="E60" s="15">
        <v>1510</v>
      </c>
      <c r="H60" s="15">
        <v>1510</v>
      </c>
      <c r="I60" s="4">
        <f t="shared" si="1"/>
        <v>0</v>
      </c>
      <c r="J60" s="14">
        <v>0.1</v>
      </c>
      <c r="K60" s="5">
        <f t="shared" si="3"/>
        <v>1359</v>
      </c>
      <c r="L60" s="10">
        <f t="shared" si="8"/>
        <v>6.7949999999999999</v>
      </c>
      <c r="N60" s="60"/>
      <c r="O60" s="60"/>
      <c r="P60" s="56"/>
      <c r="Q60" s="61"/>
      <c r="R60" s="56"/>
      <c r="S60" s="56"/>
    </row>
    <row r="61" spans="1:19" x14ac:dyDescent="0.35">
      <c r="A61" s="13" t="s">
        <v>84</v>
      </c>
      <c r="B61" s="18">
        <v>22</v>
      </c>
      <c r="C61" s="18" t="s">
        <v>110</v>
      </c>
      <c r="D61" s="18" t="s">
        <v>49</v>
      </c>
      <c r="E61" s="15">
        <v>1635</v>
      </c>
      <c r="H61" s="15">
        <v>1635</v>
      </c>
      <c r="I61" s="4">
        <f t="shared" si="1"/>
        <v>0</v>
      </c>
      <c r="J61" s="14">
        <v>0.1</v>
      </c>
      <c r="K61" s="5">
        <f t="shared" si="3"/>
        <v>1471.5</v>
      </c>
      <c r="L61" s="10">
        <f t="shared" si="8"/>
        <v>7.3574999999999999</v>
      </c>
      <c r="N61" s="60"/>
      <c r="O61" s="60"/>
      <c r="P61" s="56"/>
      <c r="Q61" s="61"/>
      <c r="R61" s="56"/>
      <c r="S61" s="56"/>
    </row>
    <row r="62" spans="1:19" x14ac:dyDescent="0.35">
      <c r="A62" s="13" t="s">
        <v>85</v>
      </c>
      <c r="B62" s="18">
        <v>25</v>
      </c>
      <c r="C62" s="18" t="s">
        <v>110</v>
      </c>
      <c r="D62" s="18" t="s">
        <v>49</v>
      </c>
      <c r="E62" s="15">
        <v>1500</v>
      </c>
      <c r="H62" s="15">
        <v>1500</v>
      </c>
      <c r="I62" s="4">
        <f t="shared" si="1"/>
        <v>0</v>
      </c>
      <c r="J62" s="14">
        <v>0.1</v>
      </c>
      <c r="K62" s="5">
        <f t="shared" si="3"/>
        <v>1350</v>
      </c>
      <c r="L62" s="10">
        <f t="shared" si="8"/>
        <v>6.75</v>
      </c>
      <c r="N62" s="60"/>
      <c r="O62" s="60"/>
      <c r="P62" s="56"/>
      <c r="Q62" s="61"/>
      <c r="R62" s="56"/>
      <c r="S62" s="56"/>
    </row>
    <row r="63" spans="1:19" x14ac:dyDescent="0.35">
      <c r="A63" s="13" t="s">
        <v>86</v>
      </c>
      <c r="B63" s="18">
        <v>22</v>
      </c>
      <c r="C63" s="18" t="s">
        <v>110</v>
      </c>
      <c r="D63" s="18" t="s">
        <v>49</v>
      </c>
      <c r="E63" s="15">
        <v>1385</v>
      </c>
      <c r="H63" s="15">
        <v>1385</v>
      </c>
      <c r="I63" s="4">
        <f t="shared" si="1"/>
        <v>0</v>
      </c>
      <c r="J63" s="14">
        <v>0.1</v>
      </c>
      <c r="K63" s="5">
        <f t="shared" si="3"/>
        <v>1246.5</v>
      </c>
      <c r="L63" s="10">
        <f t="shared" si="8"/>
        <v>6.2324999999999999</v>
      </c>
      <c r="N63" s="60"/>
      <c r="O63" s="60"/>
      <c r="P63" s="56"/>
      <c r="Q63" s="61"/>
      <c r="R63" s="56"/>
      <c r="S63" s="56"/>
    </row>
    <row r="64" spans="1:19" x14ac:dyDescent="0.35">
      <c r="A64" s="13" t="s">
        <v>87</v>
      </c>
      <c r="B64" s="18">
        <v>22</v>
      </c>
      <c r="C64" s="18" t="s">
        <v>110</v>
      </c>
      <c r="D64" s="18" t="s">
        <v>49</v>
      </c>
      <c r="E64" s="15">
        <v>1505</v>
      </c>
      <c r="H64" s="15">
        <v>1505</v>
      </c>
      <c r="I64" s="4">
        <f t="shared" si="1"/>
        <v>0</v>
      </c>
      <c r="J64" s="14">
        <v>0.1</v>
      </c>
      <c r="K64" s="5">
        <f t="shared" si="3"/>
        <v>1354.5</v>
      </c>
      <c r="L64" s="10">
        <f t="shared" si="8"/>
        <v>6.7725</v>
      </c>
      <c r="N64" s="60"/>
      <c r="O64" s="60"/>
      <c r="P64" s="56"/>
      <c r="Q64" s="61"/>
      <c r="R64" s="56"/>
      <c r="S64" s="56"/>
    </row>
    <row r="65" spans="1:19" x14ac:dyDescent="0.35">
      <c r="A65" s="13" t="s">
        <v>88</v>
      </c>
      <c r="B65" s="18">
        <v>25</v>
      </c>
      <c r="C65" s="18" t="s">
        <v>110</v>
      </c>
      <c r="D65" s="18" t="s">
        <v>49</v>
      </c>
      <c r="E65" s="15">
        <v>1375</v>
      </c>
      <c r="H65" s="15">
        <v>1375</v>
      </c>
      <c r="I65" s="4">
        <f t="shared" si="1"/>
        <v>0</v>
      </c>
      <c r="J65" s="14">
        <v>0.1</v>
      </c>
      <c r="K65" s="5">
        <f t="shared" si="3"/>
        <v>1237.5</v>
      </c>
      <c r="L65" s="10">
        <f t="shared" si="8"/>
        <v>6.1875</v>
      </c>
      <c r="N65" s="60"/>
      <c r="O65" s="60"/>
      <c r="P65" s="56"/>
      <c r="Q65" s="61"/>
      <c r="R65" s="56"/>
      <c r="S65" s="56"/>
    </row>
    <row r="66" spans="1:19" x14ac:dyDescent="0.35">
      <c r="A66" s="13" t="s">
        <v>89</v>
      </c>
      <c r="B66" s="18">
        <v>22</v>
      </c>
      <c r="C66" s="18" t="s">
        <v>110</v>
      </c>
      <c r="D66" s="18" t="s">
        <v>49</v>
      </c>
      <c r="E66" s="15">
        <v>1715</v>
      </c>
      <c r="H66" s="15">
        <v>1715</v>
      </c>
      <c r="I66" s="4">
        <f t="shared" si="1"/>
        <v>0</v>
      </c>
      <c r="J66" s="14">
        <v>0.1</v>
      </c>
      <c r="K66" s="5">
        <f t="shared" si="3"/>
        <v>1543.5</v>
      </c>
      <c r="L66" s="10">
        <f t="shared" si="8"/>
        <v>7.7175000000000002</v>
      </c>
      <c r="N66" s="60"/>
      <c r="O66" s="60"/>
      <c r="P66" s="56"/>
      <c r="Q66" s="61"/>
      <c r="R66" s="56"/>
      <c r="S66" s="56"/>
    </row>
    <row r="67" spans="1:19" x14ac:dyDescent="0.35">
      <c r="A67" s="13" t="s">
        <v>90</v>
      </c>
      <c r="B67" s="18">
        <v>22</v>
      </c>
      <c r="C67" s="18" t="s">
        <v>110</v>
      </c>
      <c r="D67" s="18" t="s">
        <v>49</v>
      </c>
      <c r="E67" s="15">
        <v>1835</v>
      </c>
      <c r="H67" s="15">
        <v>1835</v>
      </c>
      <c r="I67" s="4">
        <f t="shared" si="1"/>
        <v>0</v>
      </c>
      <c r="J67" s="14">
        <v>0.1</v>
      </c>
      <c r="K67" s="5">
        <f t="shared" si="3"/>
        <v>1651.5</v>
      </c>
      <c r="L67" s="10">
        <f t="shared" si="8"/>
        <v>8.2575000000000003</v>
      </c>
      <c r="N67" s="60"/>
      <c r="O67" s="60"/>
      <c r="P67" s="56"/>
      <c r="Q67" s="61"/>
      <c r="R67" s="56"/>
      <c r="S67" s="56"/>
    </row>
    <row r="68" spans="1:19" x14ac:dyDescent="0.35">
      <c r="A68" s="13" t="s">
        <v>91</v>
      </c>
      <c r="B68" s="18">
        <v>25</v>
      </c>
      <c r="C68" s="18" t="s">
        <v>110</v>
      </c>
      <c r="D68" s="18" t="s">
        <v>49</v>
      </c>
      <c r="E68" s="15">
        <v>1705</v>
      </c>
      <c r="H68" s="15">
        <v>1705</v>
      </c>
      <c r="I68" s="4">
        <f t="shared" ref="I68:I96" si="9">(E68-H68)/E68</f>
        <v>0</v>
      </c>
      <c r="J68" s="14">
        <v>0.1</v>
      </c>
      <c r="K68" s="5">
        <f t="shared" si="3"/>
        <v>1534.5</v>
      </c>
      <c r="L68" s="10">
        <f t="shared" si="8"/>
        <v>7.6724999999999994</v>
      </c>
      <c r="N68" s="60"/>
      <c r="O68" s="60"/>
      <c r="P68" s="56"/>
      <c r="Q68" s="61"/>
      <c r="R68" s="56"/>
      <c r="S68" s="56"/>
    </row>
    <row r="69" spans="1:19" x14ac:dyDescent="0.35">
      <c r="A69" s="13" t="s">
        <v>92</v>
      </c>
      <c r="B69" s="18">
        <v>22</v>
      </c>
      <c r="C69" s="18" t="s">
        <v>110</v>
      </c>
      <c r="D69" s="18" t="s">
        <v>49</v>
      </c>
      <c r="E69" s="15">
        <v>2215</v>
      </c>
      <c r="H69" s="15">
        <v>2215</v>
      </c>
      <c r="I69" s="4">
        <f t="shared" si="9"/>
        <v>0</v>
      </c>
      <c r="J69" s="14">
        <v>0.1</v>
      </c>
      <c r="K69" s="5">
        <f t="shared" ref="K69:K96" si="10">(H69-H69*J69)</f>
        <v>1993.5</v>
      </c>
      <c r="L69" s="10">
        <f t="shared" si="8"/>
        <v>9.9675000000000011</v>
      </c>
      <c r="N69" s="60"/>
      <c r="O69" s="60"/>
      <c r="P69" s="56"/>
      <c r="Q69" s="61"/>
      <c r="R69" s="56"/>
      <c r="S69" s="56"/>
    </row>
    <row r="70" spans="1:19" x14ac:dyDescent="0.35">
      <c r="A70" s="13" t="s">
        <v>93</v>
      </c>
      <c r="B70" s="18">
        <v>22</v>
      </c>
      <c r="C70" s="18" t="s">
        <v>110</v>
      </c>
      <c r="D70" s="18" t="s">
        <v>49</v>
      </c>
      <c r="E70" s="15">
        <v>2181</v>
      </c>
      <c r="H70" s="15">
        <v>2181</v>
      </c>
      <c r="I70" s="4">
        <f t="shared" si="9"/>
        <v>0</v>
      </c>
      <c r="J70" s="14">
        <v>0.1</v>
      </c>
      <c r="K70" s="5">
        <f t="shared" si="10"/>
        <v>1962.9</v>
      </c>
      <c r="L70" s="10">
        <f t="shared" si="8"/>
        <v>9.8145000000000007</v>
      </c>
      <c r="N70" s="60"/>
      <c r="O70" s="60"/>
      <c r="P70" s="56"/>
      <c r="Q70" s="61"/>
      <c r="R70" s="56"/>
      <c r="S70" s="56"/>
    </row>
    <row r="71" spans="1:19" x14ac:dyDescent="0.35">
      <c r="A71" s="13" t="s">
        <v>94</v>
      </c>
      <c r="B71" s="18">
        <v>25</v>
      </c>
      <c r="C71" s="18" t="s">
        <v>110</v>
      </c>
      <c r="D71" s="18" t="s">
        <v>49</v>
      </c>
      <c r="E71" s="15">
        <v>2171</v>
      </c>
      <c r="H71" s="15">
        <v>2171</v>
      </c>
      <c r="I71" s="4">
        <f t="shared" si="9"/>
        <v>0</v>
      </c>
      <c r="J71" s="14">
        <v>0.1</v>
      </c>
      <c r="K71" s="5">
        <f t="shared" si="10"/>
        <v>1953.9</v>
      </c>
      <c r="L71" s="10">
        <f t="shared" si="8"/>
        <v>9.7695000000000007</v>
      </c>
      <c r="N71" s="60"/>
      <c r="O71" s="60"/>
      <c r="P71" s="56"/>
      <c r="Q71" s="61"/>
      <c r="R71" s="56"/>
      <c r="S71" s="56"/>
    </row>
    <row r="72" spans="1:19" x14ac:dyDescent="0.35">
      <c r="A72" s="13" t="s">
        <v>95</v>
      </c>
      <c r="B72" s="18">
        <v>22</v>
      </c>
      <c r="C72" s="18" t="s">
        <v>110</v>
      </c>
      <c r="D72" s="18" t="s">
        <v>49</v>
      </c>
      <c r="E72" s="15">
        <v>1886</v>
      </c>
      <c r="H72" s="15">
        <v>1886</v>
      </c>
      <c r="I72" s="4">
        <f t="shared" si="9"/>
        <v>0</v>
      </c>
      <c r="J72" s="14">
        <v>0.1</v>
      </c>
      <c r="K72" s="5">
        <f t="shared" si="10"/>
        <v>1697.4</v>
      </c>
      <c r="L72" s="10">
        <f t="shared" si="8"/>
        <v>8.4870000000000001</v>
      </c>
      <c r="N72" s="60"/>
      <c r="O72" s="60"/>
      <c r="P72" s="56"/>
      <c r="Q72" s="61"/>
      <c r="R72" s="56"/>
      <c r="S72" s="56"/>
    </row>
    <row r="73" spans="1:19" x14ac:dyDescent="0.35">
      <c r="A73" s="13" t="s">
        <v>96</v>
      </c>
      <c r="B73" s="18">
        <v>22</v>
      </c>
      <c r="C73" s="18" t="s">
        <v>110</v>
      </c>
      <c r="D73" s="18" t="s">
        <v>49</v>
      </c>
      <c r="E73" s="15">
        <v>2000</v>
      </c>
      <c r="H73" s="15">
        <v>2000</v>
      </c>
      <c r="I73" s="4">
        <f t="shared" si="9"/>
        <v>0</v>
      </c>
      <c r="J73" s="14">
        <v>0.1</v>
      </c>
      <c r="K73" s="5">
        <f t="shared" si="10"/>
        <v>1800</v>
      </c>
      <c r="L73" s="10">
        <f t="shared" si="8"/>
        <v>9</v>
      </c>
      <c r="N73" s="60"/>
      <c r="O73" s="60"/>
      <c r="P73" s="56"/>
      <c r="Q73" s="61"/>
      <c r="R73" s="56"/>
      <c r="S73" s="56"/>
    </row>
    <row r="74" spans="1:19" x14ac:dyDescent="0.35">
      <c r="A74" s="13" t="s">
        <v>97</v>
      </c>
      <c r="B74" s="18">
        <v>25</v>
      </c>
      <c r="C74" s="18" t="s">
        <v>110</v>
      </c>
      <c r="D74" s="18" t="s">
        <v>49</v>
      </c>
      <c r="E74" s="15">
        <v>1876</v>
      </c>
      <c r="H74" s="15">
        <v>1876</v>
      </c>
      <c r="I74" s="4">
        <f t="shared" si="9"/>
        <v>0</v>
      </c>
      <c r="J74" s="14">
        <v>0.1</v>
      </c>
      <c r="K74" s="5">
        <f t="shared" si="10"/>
        <v>1688.4</v>
      </c>
      <c r="L74" s="10">
        <f t="shared" si="8"/>
        <v>8.4420000000000002</v>
      </c>
      <c r="N74" s="60"/>
      <c r="O74" s="60"/>
      <c r="P74" s="56"/>
      <c r="Q74" s="61"/>
      <c r="R74" s="56"/>
      <c r="S74" s="56"/>
    </row>
    <row r="75" spans="1:19" x14ac:dyDescent="0.35">
      <c r="A75" s="13" t="s">
        <v>98</v>
      </c>
      <c r="B75" s="18">
        <v>22</v>
      </c>
      <c r="C75" s="18" t="s">
        <v>110</v>
      </c>
      <c r="D75" s="18" t="s">
        <v>49</v>
      </c>
      <c r="E75" s="15">
        <v>2043</v>
      </c>
      <c r="H75" s="15">
        <v>2043</v>
      </c>
      <c r="I75" s="4">
        <f t="shared" si="9"/>
        <v>0</v>
      </c>
      <c r="J75" s="14">
        <v>0.1</v>
      </c>
      <c r="K75" s="5">
        <f t="shared" si="10"/>
        <v>1838.7</v>
      </c>
      <c r="L75" s="10">
        <f t="shared" si="8"/>
        <v>9.1935000000000002</v>
      </c>
      <c r="N75" s="60"/>
      <c r="O75" s="60"/>
      <c r="P75" s="56"/>
      <c r="Q75" s="61"/>
      <c r="R75" s="56"/>
      <c r="S75" s="56"/>
    </row>
    <row r="76" spans="1:19" x14ac:dyDescent="0.35">
      <c r="A76" s="13" t="s">
        <v>99</v>
      </c>
      <c r="B76" s="18">
        <v>22</v>
      </c>
      <c r="C76" s="18" t="s">
        <v>110</v>
      </c>
      <c r="D76" s="18" t="s">
        <v>49</v>
      </c>
      <c r="E76" s="15">
        <v>2156</v>
      </c>
      <c r="H76" s="15">
        <v>2156</v>
      </c>
      <c r="I76" s="4">
        <f t="shared" si="9"/>
        <v>0</v>
      </c>
      <c r="J76" s="14">
        <v>0.1</v>
      </c>
      <c r="K76" s="5">
        <f t="shared" si="10"/>
        <v>1940.4</v>
      </c>
      <c r="L76" s="10">
        <f t="shared" si="8"/>
        <v>9.702</v>
      </c>
      <c r="N76" s="60"/>
      <c r="O76" s="60"/>
      <c r="P76" s="56"/>
      <c r="Q76" s="61"/>
      <c r="R76" s="56"/>
      <c r="S76" s="56"/>
    </row>
    <row r="77" spans="1:19" x14ac:dyDescent="0.35">
      <c r="A77" s="13" t="s">
        <v>100</v>
      </c>
      <c r="B77" s="18">
        <v>25</v>
      </c>
      <c r="C77" s="18" t="s">
        <v>110</v>
      </c>
      <c r="D77" s="18" t="s">
        <v>49</v>
      </c>
      <c r="E77" s="15">
        <v>2030</v>
      </c>
      <c r="H77" s="15">
        <v>2030</v>
      </c>
      <c r="I77" s="4">
        <f t="shared" si="9"/>
        <v>0</v>
      </c>
      <c r="J77" s="14">
        <v>0.1</v>
      </c>
      <c r="K77" s="5">
        <f t="shared" si="10"/>
        <v>1827</v>
      </c>
      <c r="L77" s="10">
        <f t="shared" si="8"/>
        <v>9.1349999999999998</v>
      </c>
      <c r="N77" s="60"/>
      <c r="O77" s="60"/>
      <c r="P77" s="56"/>
      <c r="Q77" s="61"/>
      <c r="R77" s="56"/>
      <c r="S77" s="56"/>
    </row>
    <row r="78" spans="1:19" hidden="1" x14ac:dyDescent="0.35">
      <c r="A78" s="19" t="s">
        <v>65</v>
      </c>
      <c r="B78" s="3">
        <v>180</v>
      </c>
      <c r="C78" s="18" t="s">
        <v>109</v>
      </c>
      <c r="D78" s="18" t="s">
        <v>50</v>
      </c>
      <c r="E78" s="12">
        <v>182.75</v>
      </c>
      <c r="H78" s="12">
        <v>182.75</v>
      </c>
      <c r="I78" s="4">
        <f t="shared" si="9"/>
        <v>0</v>
      </c>
      <c r="J78" s="14">
        <v>0.1</v>
      </c>
      <c r="K78" s="5">
        <f t="shared" si="10"/>
        <v>164.47499999999999</v>
      </c>
      <c r="L78" s="5">
        <f>(((K78/2)))</f>
        <v>82.237499999999997</v>
      </c>
      <c r="N78" s="58"/>
      <c r="O78" s="58"/>
      <c r="P78" s="56"/>
      <c r="Q78" s="61"/>
      <c r="R78" s="56"/>
      <c r="S78" s="56"/>
    </row>
    <row r="79" spans="1:19" hidden="1" x14ac:dyDescent="0.35">
      <c r="A79" s="19" t="s">
        <v>66</v>
      </c>
      <c r="B79" s="3">
        <v>250</v>
      </c>
      <c r="C79" s="18" t="s">
        <v>109</v>
      </c>
      <c r="D79" s="18" t="s">
        <v>50</v>
      </c>
      <c r="E79" s="12">
        <v>180</v>
      </c>
      <c r="H79" s="12">
        <v>180</v>
      </c>
      <c r="I79" s="4">
        <f t="shared" si="9"/>
        <v>0</v>
      </c>
      <c r="J79" s="14">
        <v>0.1</v>
      </c>
      <c r="K79" s="5">
        <f t="shared" si="10"/>
        <v>162</v>
      </c>
      <c r="L79" s="5">
        <f>(((K79/4)*2))</f>
        <v>81</v>
      </c>
      <c r="N79" s="58"/>
      <c r="O79" s="58"/>
      <c r="P79" s="56"/>
      <c r="Q79" s="61"/>
      <c r="R79" s="56"/>
      <c r="S79" s="56"/>
    </row>
    <row r="80" spans="1:19" hidden="1" x14ac:dyDescent="0.35">
      <c r="A80" s="19" t="s">
        <v>53</v>
      </c>
      <c r="B80" s="3">
        <v>180</v>
      </c>
      <c r="C80" s="18" t="s">
        <v>109</v>
      </c>
      <c r="D80" s="18" t="s">
        <v>50</v>
      </c>
      <c r="E80" s="12">
        <v>208.25</v>
      </c>
      <c r="H80" s="12">
        <v>208.25</v>
      </c>
      <c r="I80" s="4">
        <f t="shared" si="9"/>
        <v>0</v>
      </c>
      <c r="J80" s="14">
        <v>0.05</v>
      </c>
      <c r="K80" s="5">
        <f t="shared" si="10"/>
        <v>197.83750000000001</v>
      </c>
      <c r="L80" s="5">
        <f>(((K80/4)*2))</f>
        <v>98.918750000000003</v>
      </c>
      <c r="N80" s="58"/>
      <c r="O80" s="58"/>
      <c r="P80" s="56"/>
      <c r="Q80" s="57"/>
      <c r="R80" s="56"/>
      <c r="S80" s="56"/>
    </row>
    <row r="81" spans="1:19" hidden="1" x14ac:dyDescent="0.35">
      <c r="A81" s="19" t="s">
        <v>54</v>
      </c>
      <c r="B81" s="3">
        <v>250</v>
      </c>
      <c r="C81" s="18" t="s">
        <v>109</v>
      </c>
      <c r="D81" s="18" t="s">
        <v>50</v>
      </c>
      <c r="E81" s="12">
        <v>204.75</v>
      </c>
      <c r="H81" s="12">
        <v>204.75</v>
      </c>
      <c r="I81" s="4">
        <f t="shared" si="9"/>
        <v>0</v>
      </c>
      <c r="J81" s="14">
        <v>0.05</v>
      </c>
      <c r="K81" s="5">
        <f t="shared" si="10"/>
        <v>194.51249999999999</v>
      </c>
      <c r="L81" s="5">
        <f>(((K81/4)*2))</f>
        <v>97.256249999999994</v>
      </c>
      <c r="N81" s="58"/>
      <c r="O81" s="58"/>
      <c r="P81" s="56"/>
      <c r="Q81" s="61"/>
      <c r="R81" s="56"/>
      <c r="S81" s="56"/>
    </row>
    <row r="82" spans="1:19" hidden="1" x14ac:dyDescent="0.35">
      <c r="A82" s="19" t="s">
        <v>55</v>
      </c>
      <c r="B82" s="3">
        <v>180</v>
      </c>
      <c r="C82" s="18" t="s">
        <v>109</v>
      </c>
      <c r="D82" s="18" t="s">
        <v>50</v>
      </c>
      <c r="E82" s="12">
        <v>183</v>
      </c>
      <c r="H82" s="12">
        <v>183</v>
      </c>
      <c r="I82" s="4">
        <f t="shared" si="9"/>
        <v>0</v>
      </c>
      <c r="J82" s="14">
        <v>0.05</v>
      </c>
      <c r="K82" s="5">
        <f t="shared" si="10"/>
        <v>173.85</v>
      </c>
      <c r="L82" s="10">
        <f>((K82/2)/100)*10</f>
        <v>8.692499999999999</v>
      </c>
      <c r="N82" s="58"/>
      <c r="O82" s="58"/>
      <c r="P82" s="56"/>
      <c r="Q82" s="61"/>
      <c r="R82" s="56"/>
      <c r="S82" s="56"/>
    </row>
    <row r="83" spans="1:19" hidden="1" x14ac:dyDescent="0.35">
      <c r="A83" s="19" t="s">
        <v>56</v>
      </c>
      <c r="B83" s="3">
        <v>250</v>
      </c>
      <c r="C83" s="18" t="s">
        <v>109</v>
      </c>
      <c r="D83" s="18" t="s">
        <v>50</v>
      </c>
      <c r="E83" s="12">
        <v>179.5</v>
      </c>
      <c r="H83" s="12">
        <v>179.5</v>
      </c>
      <c r="I83" s="4">
        <f t="shared" si="9"/>
        <v>0</v>
      </c>
      <c r="J83" s="14">
        <v>0.05</v>
      </c>
      <c r="K83" s="5">
        <f t="shared" si="10"/>
        <v>170.52500000000001</v>
      </c>
      <c r="L83" s="10">
        <f t="shared" ref="L83" si="11">((K83/2)/100)*10</f>
        <v>8.526250000000001</v>
      </c>
      <c r="N83" s="58"/>
      <c r="O83" s="58"/>
      <c r="P83" s="56"/>
      <c r="Q83" s="61"/>
      <c r="R83" s="56"/>
      <c r="S83" s="56"/>
    </row>
    <row r="84" spans="1:19" hidden="1" x14ac:dyDescent="0.35">
      <c r="A84" s="19" t="s">
        <v>57</v>
      </c>
      <c r="B84" s="3">
        <v>180</v>
      </c>
      <c r="C84" s="18" t="s">
        <v>109</v>
      </c>
      <c r="D84" s="18" t="s">
        <v>50</v>
      </c>
      <c r="E84" s="12">
        <v>92.75</v>
      </c>
      <c r="H84" s="12">
        <v>92.75</v>
      </c>
      <c r="I84" s="4">
        <f t="shared" si="9"/>
        <v>0</v>
      </c>
      <c r="J84" s="14">
        <v>0.05</v>
      </c>
      <c r="K84" s="5">
        <f t="shared" si="10"/>
        <v>88.112499999999997</v>
      </c>
      <c r="L84" s="10">
        <f>((K84/2)/100)*25</f>
        <v>11.0140625</v>
      </c>
      <c r="N84" s="58"/>
      <c r="O84" s="58"/>
      <c r="P84" s="56"/>
      <c r="Q84" s="61"/>
      <c r="R84" s="56"/>
      <c r="S84" s="56"/>
    </row>
    <row r="85" spans="1:19" hidden="1" x14ac:dyDescent="0.35">
      <c r="A85" s="19" t="s">
        <v>58</v>
      </c>
      <c r="B85" s="3">
        <v>250</v>
      </c>
      <c r="C85" s="18" t="s">
        <v>109</v>
      </c>
      <c r="D85" s="18" t="s">
        <v>50</v>
      </c>
      <c r="E85" s="12">
        <v>89.75</v>
      </c>
      <c r="H85" s="12">
        <v>89.75</v>
      </c>
      <c r="I85" s="4">
        <f t="shared" si="9"/>
        <v>0</v>
      </c>
      <c r="J85" s="14">
        <v>0.05</v>
      </c>
      <c r="K85" s="5">
        <f t="shared" si="10"/>
        <v>85.262500000000003</v>
      </c>
      <c r="L85" s="10">
        <f>((K85/2)/100)*25</f>
        <v>10.6578125</v>
      </c>
      <c r="N85" s="58"/>
      <c r="O85" s="58"/>
      <c r="P85" s="56"/>
      <c r="Q85" s="61"/>
      <c r="R85" s="56"/>
      <c r="S85" s="56"/>
    </row>
    <row r="86" spans="1:19" hidden="1" x14ac:dyDescent="0.35">
      <c r="A86" s="19" t="s">
        <v>59</v>
      </c>
      <c r="B86" s="3">
        <v>180</v>
      </c>
      <c r="C86" s="18" t="s">
        <v>109</v>
      </c>
      <c r="D86" s="18" t="s">
        <v>50</v>
      </c>
      <c r="E86" s="12">
        <v>215.5</v>
      </c>
      <c r="H86" s="12">
        <v>215.5</v>
      </c>
      <c r="I86" s="4">
        <f t="shared" si="9"/>
        <v>0</v>
      </c>
      <c r="J86" s="14">
        <v>0.05</v>
      </c>
      <c r="K86" s="5">
        <f t="shared" si="10"/>
        <v>204.72499999999999</v>
      </c>
      <c r="L86" s="5">
        <f>(((K86/4)*2))</f>
        <v>102.3625</v>
      </c>
      <c r="N86" s="58"/>
      <c r="O86" s="58"/>
      <c r="P86" s="56"/>
      <c r="Q86" s="61"/>
      <c r="R86" s="56"/>
      <c r="S86" s="56"/>
    </row>
    <row r="87" spans="1:19" hidden="1" x14ac:dyDescent="0.35">
      <c r="A87" s="19" t="s">
        <v>60</v>
      </c>
      <c r="B87" s="3">
        <v>250</v>
      </c>
      <c r="C87" s="18" t="s">
        <v>109</v>
      </c>
      <c r="D87" s="18" t="s">
        <v>50</v>
      </c>
      <c r="E87" s="12">
        <v>212.25</v>
      </c>
      <c r="H87" s="12">
        <v>212.25</v>
      </c>
      <c r="I87" s="4">
        <f t="shared" si="9"/>
        <v>0</v>
      </c>
      <c r="J87" s="14">
        <v>0.05</v>
      </c>
      <c r="K87" s="5">
        <f t="shared" si="10"/>
        <v>201.63749999999999</v>
      </c>
      <c r="L87" s="5">
        <f t="shared" ref="L87:L88" si="12">(((K87/4)*2))</f>
        <v>100.81874999999999</v>
      </c>
      <c r="N87" s="58"/>
      <c r="O87" s="58"/>
      <c r="P87" s="56"/>
      <c r="Q87" s="61"/>
      <c r="R87" s="56"/>
      <c r="S87" s="56"/>
    </row>
    <row r="88" spans="1:19" hidden="1" x14ac:dyDescent="0.35">
      <c r="A88" s="19" t="s">
        <v>61</v>
      </c>
      <c r="B88" s="18">
        <v>2000</v>
      </c>
      <c r="C88" s="18" t="s">
        <v>109</v>
      </c>
      <c r="D88" s="18" t="s">
        <v>50</v>
      </c>
      <c r="E88" s="12">
        <v>200.5</v>
      </c>
      <c r="H88" s="12">
        <v>200.5</v>
      </c>
      <c r="I88" s="4">
        <f t="shared" si="9"/>
        <v>0</v>
      </c>
      <c r="J88" s="14">
        <v>0.05</v>
      </c>
      <c r="K88" s="5">
        <f t="shared" si="10"/>
        <v>190.47499999999999</v>
      </c>
      <c r="L88" s="5">
        <f t="shared" si="12"/>
        <v>95.237499999999997</v>
      </c>
      <c r="N88" s="58"/>
      <c r="O88" s="58"/>
      <c r="P88" s="56"/>
      <c r="Q88" s="61"/>
      <c r="R88" s="56"/>
      <c r="S88" s="56"/>
    </row>
    <row r="89" spans="1:19" hidden="1" x14ac:dyDescent="0.35">
      <c r="A89" s="19" t="s">
        <v>62</v>
      </c>
      <c r="B89" s="3">
        <v>180</v>
      </c>
      <c r="C89" s="18" t="s">
        <v>109</v>
      </c>
      <c r="D89" s="18" t="s">
        <v>50</v>
      </c>
      <c r="E89" s="12">
        <v>188</v>
      </c>
      <c r="H89" s="12">
        <v>188</v>
      </c>
      <c r="I89" s="4">
        <f t="shared" si="9"/>
        <v>0</v>
      </c>
      <c r="J89" s="14">
        <v>0.05</v>
      </c>
      <c r="K89" s="5">
        <f t="shared" si="10"/>
        <v>178.6</v>
      </c>
      <c r="L89" s="10">
        <f>((K89/2)/100)*10</f>
        <v>8.93</v>
      </c>
      <c r="N89" s="58"/>
      <c r="O89" s="58"/>
      <c r="P89" s="56"/>
      <c r="Q89" s="57"/>
      <c r="R89" s="56"/>
      <c r="S89" s="56"/>
    </row>
    <row r="90" spans="1:19" hidden="1" x14ac:dyDescent="0.35">
      <c r="A90" s="19" t="s">
        <v>63</v>
      </c>
      <c r="B90" s="3">
        <v>250</v>
      </c>
      <c r="C90" s="18" t="s">
        <v>109</v>
      </c>
      <c r="D90" s="18" t="s">
        <v>50</v>
      </c>
      <c r="E90" s="12">
        <v>185</v>
      </c>
      <c r="H90" s="12">
        <v>185</v>
      </c>
      <c r="I90" s="4">
        <f t="shared" si="9"/>
        <v>0</v>
      </c>
      <c r="J90" s="14">
        <v>0.05</v>
      </c>
      <c r="K90" s="5">
        <f t="shared" si="10"/>
        <v>175.75</v>
      </c>
      <c r="L90" s="10">
        <f t="shared" ref="L90:L91" si="13">((K90/2)/100)*10</f>
        <v>8.7874999999999996</v>
      </c>
      <c r="N90" s="58"/>
      <c r="O90" s="58"/>
      <c r="P90" s="56"/>
      <c r="Q90" s="57"/>
      <c r="R90" s="56"/>
      <c r="S90" s="56"/>
    </row>
    <row r="91" spans="1:19" hidden="1" x14ac:dyDescent="0.35">
      <c r="A91" s="19" t="s">
        <v>64</v>
      </c>
      <c r="B91" s="18">
        <v>2000</v>
      </c>
      <c r="C91" s="18" t="s">
        <v>109</v>
      </c>
      <c r="D91" s="18" t="s">
        <v>50</v>
      </c>
      <c r="E91" s="12">
        <v>173</v>
      </c>
      <c r="H91" s="12">
        <v>173</v>
      </c>
      <c r="I91" s="4">
        <f t="shared" si="9"/>
        <v>0</v>
      </c>
      <c r="J91" s="14">
        <v>0.05</v>
      </c>
      <c r="K91" s="5">
        <f t="shared" si="10"/>
        <v>164.35</v>
      </c>
      <c r="L91" s="10">
        <f t="shared" si="13"/>
        <v>8.2174999999999994</v>
      </c>
      <c r="N91" s="58"/>
      <c r="O91" s="58"/>
      <c r="P91" s="56"/>
      <c r="Q91" s="57"/>
      <c r="R91" s="56"/>
      <c r="S91" s="56"/>
    </row>
    <row r="92" spans="1:19" hidden="1" x14ac:dyDescent="0.35">
      <c r="A92" s="13" t="s">
        <v>101</v>
      </c>
      <c r="B92" s="3">
        <v>180</v>
      </c>
      <c r="C92" s="18" t="s">
        <v>109</v>
      </c>
      <c r="D92" s="18" t="s">
        <v>52</v>
      </c>
      <c r="E92" s="12">
        <v>70</v>
      </c>
      <c r="H92" s="12">
        <v>70</v>
      </c>
      <c r="I92" s="4">
        <f t="shared" si="9"/>
        <v>0</v>
      </c>
      <c r="J92" s="14">
        <v>0.02</v>
      </c>
      <c r="K92" s="5">
        <f t="shared" si="10"/>
        <v>68.599999999999994</v>
      </c>
      <c r="L92" s="10">
        <f>(K92/128)*8</f>
        <v>4.2874999999999996</v>
      </c>
      <c r="N92" s="58"/>
      <c r="O92" s="58"/>
      <c r="P92" s="56"/>
      <c r="Q92" s="57"/>
      <c r="R92" s="56"/>
      <c r="S92" s="56"/>
    </row>
    <row r="93" spans="1:19" hidden="1" x14ac:dyDescent="0.35">
      <c r="A93" s="13" t="s">
        <v>102</v>
      </c>
      <c r="B93" s="18">
        <v>265</v>
      </c>
      <c r="C93" s="18" t="s">
        <v>109</v>
      </c>
      <c r="D93" s="18" t="s">
        <v>52</v>
      </c>
      <c r="E93" s="12">
        <v>68</v>
      </c>
      <c r="H93" s="12">
        <v>68</v>
      </c>
      <c r="I93" s="4">
        <f t="shared" si="9"/>
        <v>0</v>
      </c>
      <c r="J93" s="14">
        <v>0.02</v>
      </c>
      <c r="K93" s="5">
        <f t="shared" si="10"/>
        <v>66.64</v>
      </c>
      <c r="L93" s="10">
        <f>(K93/128)*8</f>
        <v>4.165</v>
      </c>
      <c r="N93" s="58"/>
      <c r="O93" s="58"/>
      <c r="P93" s="56"/>
      <c r="Q93" s="57"/>
      <c r="R93" s="56"/>
      <c r="S93" s="56"/>
    </row>
    <row r="94" spans="1:19" hidden="1" x14ac:dyDescent="0.35">
      <c r="A94" s="13" t="s">
        <v>103</v>
      </c>
      <c r="B94" s="3">
        <v>180</v>
      </c>
      <c r="C94" s="18" t="s">
        <v>109</v>
      </c>
      <c r="D94" s="18" t="s">
        <v>52</v>
      </c>
      <c r="E94" s="12">
        <v>37.950000000000003</v>
      </c>
      <c r="H94" s="12">
        <v>37.950000000000003</v>
      </c>
      <c r="I94" s="4">
        <f t="shared" si="9"/>
        <v>0</v>
      </c>
      <c r="J94" s="14">
        <v>0.02</v>
      </c>
      <c r="K94" s="5">
        <f t="shared" si="10"/>
        <v>37.191000000000003</v>
      </c>
      <c r="L94" s="10">
        <f>(K94/128)*16</f>
        <v>4.6488750000000003</v>
      </c>
      <c r="N94" s="58"/>
      <c r="O94" s="58"/>
      <c r="P94" s="56"/>
      <c r="Q94" s="57"/>
      <c r="R94" s="56"/>
      <c r="S94" s="56"/>
    </row>
    <row r="95" spans="1:19" hidden="1" x14ac:dyDescent="0.35">
      <c r="A95" s="13" t="s">
        <v>104</v>
      </c>
      <c r="B95" s="18">
        <v>265</v>
      </c>
      <c r="C95" s="18" t="s">
        <v>109</v>
      </c>
      <c r="D95" s="18" t="s">
        <v>52</v>
      </c>
      <c r="E95" s="12">
        <v>36.950000000000003</v>
      </c>
      <c r="H95" s="12">
        <v>36.950000000000003</v>
      </c>
      <c r="I95" s="4">
        <f t="shared" si="9"/>
        <v>0</v>
      </c>
      <c r="J95" s="14">
        <v>0.02</v>
      </c>
      <c r="K95" s="5">
        <f t="shared" si="10"/>
        <v>36.211000000000006</v>
      </c>
      <c r="L95" s="10">
        <f t="shared" ref="L95:L96" si="14">(K95/128)*16</f>
        <v>4.5263750000000007</v>
      </c>
      <c r="N95" s="58"/>
      <c r="O95" s="58"/>
      <c r="P95" s="56"/>
      <c r="Q95" s="57"/>
      <c r="R95" s="56"/>
      <c r="S95" s="56"/>
    </row>
    <row r="96" spans="1:19" hidden="1" x14ac:dyDescent="0.35">
      <c r="A96" s="13" t="s">
        <v>105</v>
      </c>
      <c r="B96" s="18">
        <v>2000</v>
      </c>
      <c r="C96" s="18" t="s">
        <v>109</v>
      </c>
      <c r="D96" s="18" t="s">
        <v>52</v>
      </c>
      <c r="E96" s="12">
        <v>35.950000000000003</v>
      </c>
      <c r="H96" s="12">
        <v>35.950000000000003</v>
      </c>
      <c r="I96" s="4">
        <f t="shared" si="9"/>
        <v>0</v>
      </c>
      <c r="J96" s="14">
        <v>0.02</v>
      </c>
      <c r="K96" s="5">
        <f t="shared" si="10"/>
        <v>35.231000000000002</v>
      </c>
      <c r="L96" s="10">
        <f t="shared" si="14"/>
        <v>4.4038750000000002</v>
      </c>
      <c r="N96" s="58"/>
      <c r="O96" s="58"/>
      <c r="P96" s="56"/>
      <c r="Q96" s="57"/>
      <c r="R96" s="56"/>
      <c r="S96" s="56"/>
    </row>
    <row r="97" spans="14:19" x14ac:dyDescent="0.35">
      <c r="N97" s="62"/>
      <c r="O97" s="62"/>
      <c r="P97" s="62"/>
      <c r="Q97" s="62"/>
      <c r="R97" s="62"/>
      <c r="S97" s="62"/>
    </row>
    <row r="98" spans="14:19" x14ac:dyDescent="0.35">
      <c r="N98" s="62"/>
      <c r="O98" s="62"/>
      <c r="P98" s="62"/>
      <c r="Q98" s="62"/>
      <c r="R98" s="62"/>
      <c r="S98" s="62"/>
    </row>
    <row r="99" spans="14:19" x14ac:dyDescent="0.35">
      <c r="N99" s="62"/>
      <c r="O99" s="62"/>
      <c r="P99" s="62"/>
      <c r="Q99" s="62"/>
      <c r="R99" s="62"/>
      <c r="S99" s="62"/>
    </row>
    <row r="100" spans="14:19" x14ac:dyDescent="0.35">
      <c r="N100" s="62"/>
      <c r="O100" s="62"/>
      <c r="P100" s="62"/>
      <c r="Q100" s="62"/>
      <c r="R100" s="62"/>
      <c r="S100" s="62"/>
    </row>
  </sheetData>
  <sheetProtection sheet="1" formatCells="0" formatColumns="0" formatRows="0" insertColumns="0" insertRows="0" insertHyperlinks="0" deleteColumns="0" deleteRows="0" sort="0" autoFilter="0" pivotTables="0"/>
  <autoFilter ref="A2:S96" xr:uid="{E65D2D9D-BAC7-41A2-B9EE-A5EB78B50AEB}">
    <filterColumn colId="0">
      <filters>
        <filter val="microSync Complete (1x2000lb)"/>
        <filter val="microSync Complete (40x50lb)"/>
        <filter val="microSync Complete (bulk)"/>
        <filter val="microSync Copper 5% (1x2000lb)"/>
        <filter val="microSync Copper 5% (40x50lb)"/>
        <filter val="microSync Copper 5% (bulk)"/>
        <filter val="microSync Fusion (1x2000lb)"/>
        <filter val="microSync Fusion (40x50lb)"/>
        <filter val="microSync Fusion (bulk)"/>
        <filter val="microSync Iron IDC (1x2000lb)"/>
        <filter val="microSync Iron IDC (40x50lb)"/>
        <filter val="microSync Manganese 8% (1x2000lb)"/>
        <filter val="microSync Manganese 8% (40x50lb)"/>
        <filter val="microSync Manganese 8% (bulk)"/>
        <filter val="microsync Premier (1x2000lb)"/>
        <filter val="microSync Premier (40x50lb)"/>
        <filter val="microSync Premier (bulk)"/>
        <filter val="microSync Prime (1x2000lb)"/>
        <filter val="microSync Prime (40x50lb)"/>
        <filter val="microsync Prime (bulk)"/>
        <filter val="microSync Pro (1x2000lb)"/>
        <filter val="microSync Pro (40x50lb)"/>
        <filter val="microSync Pro (bulk)"/>
        <filter val="microSync Pro Mini (40x50lb)"/>
        <filter val="microSync Supreme (1x2000lb)"/>
        <filter val="microSync Supreme (bulk)"/>
        <filter val="microSync Ultra (1x2000lb)"/>
        <filter val="microSync Ultra (40x50lb)"/>
        <filter val="microSync Ultra (bulk)"/>
        <filter val="microSync Zinc 10% (1x2000lb)"/>
        <filter val="microSync Zinc 10% (40x50lb)"/>
        <filter val="microSync Zinc 10% (bulk)"/>
      </filters>
    </filterColumn>
  </autoFilter>
  <mergeCells count="2">
    <mergeCell ref="N1:S1"/>
    <mergeCell ref="A1:L1"/>
  </mergeCells>
  <conditionalFormatting sqref="A4:D45 E44:E45 A46:E96">
    <cfRule type="expression" dxfId="6" priority="6">
      <formula>MOD(ROW(),2)=0</formula>
    </cfRule>
  </conditionalFormatting>
  <conditionalFormatting sqref="A3:L3 E4:L43 K44:K96">
    <cfRule type="expression" dxfId="5" priority="12">
      <formula>MOD(ROW(),2)=0</formula>
    </cfRule>
  </conditionalFormatting>
  <conditionalFormatting sqref="H44:I96">
    <cfRule type="expression" dxfId="4" priority="5">
      <formula>MOD(ROW(),2)=0</formula>
    </cfRule>
  </conditionalFormatting>
  <conditionalFormatting sqref="L78:L81">
    <cfRule type="expression" dxfId="3" priority="2">
      <formula>MOD(ROW(),2)=0</formula>
    </cfRule>
  </conditionalFormatting>
  <conditionalFormatting sqref="L86:L88">
    <cfRule type="expression" dxfId="2" priority="1">
      <formula>MOD(ROW(),2)=0</formula>
    </cfRule>
  </conditionalFormatting>
  <conditionalFormatting sqref="N3:N96">
    <cfRule type="expression" dxfId="1" priority="4">
      <formula>MOD(ROW(),2)=0</formula>
    </cfRule>
  </conditionalFormatting>
  <conditionalFormatting sqref="O44:O96">
    <cfRule type="expression" dxfId="0" priority="3">
      <formula>MOD(ROW(),2)=0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E98A6D06CC524FA285523DD8364830" ma:contentTypeVersion="15" ma:contentTypeDescription="Create a new document." ma:contentTypeScope="" ma:versionID="19aa0e77c3d1d19f2ebe230751a16f4e">
  <xsd:schema xmlns:xsd="http://www.w3.org/2001/XMLSchema" xmlns:xs="http://www.w3.org/2001/XMLSchema" xmlns:p="http://schemas.microsoft.com/office/2006/metadata/properties" xmlns:ns3="9dd471be-d741-4b5a-a0ab-53af44daa36c" xmlns:ns4="37b7e5d4-5163-4332-b3a3-61665b9ef88f" targetNamespace="http://schemas.microsoft.com/office/2006/metadata/properties" ma:root="true" ma:fieldsID="a2cacb1bb71d8650ea3d5d406399d69c" ns3:_="" ns4:_="">
    <xsd:import namespace="9dd471be-d741-4b5a-a0ab-53af44daa36c"/>
    <xsd:import namespace="37b7e5d4-5163-4332-b3a3-61665b9ef8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471be-d741-4b5a-a0ab-53af44daa3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5d4-5163-4332-b3a3-61665b9ef8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b7e5d4-5163-4332-b3a3-61665b9ef8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47F7B4-168D-4821-BB90-C66ABF15C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471be-d741-4b5a-a0ab-53af44daa36c"/>
    <ds:schemaRef ds:uri="37b7e5d4-5163-4332-b3a3-61665b9ef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AC9728-D18E-4F1E-BD56-07E6961883FC}">
  <ds:schemaRefs>
    <ds:schemaRef ds:uri="http://schemas.microsoft.com/office/2006/documentManagement/types"/>
    <ds:schemaRef ds:uri="http://purl.org/dc/elements/1.1/"/>
    <ds:schemaRef ds:uri="9dd471be-d741-4b5a-a0ab-53af44daa36c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37b7e5d4-5163-4332-b3a3-61665b9ef88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5F873F-E7D2-42D4-B616-F18F85E6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 Special FY25</vt:lpstr>
      <vt:lpstr>Summer Product Financials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Mann</dc:creator>
  <cp:lastModifiedBy>Lindsey Robinson</cp:lastModifiedBy>
  <dcterms:created xsi:type="dcterms:W3CDTF">2025-05-13T21:19:09Z</dcterms:created>
  <dcterms:modified xsi:type="dcterms:W3CDTF">2025-06-05T16:08:47Z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0x010100FCE98A6D06CC524FA285523DD8364830</vt:lpwstr>
  </property>
</Properties>
</file>